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fluidra.sharepoint.com/teams/127-Sustainability-SPO/Shared Documents/SUSTAINABILITY TEAM/GENERAL/4. Integrated Annual Report/3. Reports/2025/11. Cierre/KPIs web/"/>
    </mc:Choice>
  </mc:AlternateContent>
  <xr:revisionPtr revIDLastSave="826" documentId="13_ncr:1_{21EB04BC-598E-4D61-A21A-F7BB52827BEB}" xr6:coauthVersionLast="47" xr6:coauthVersionMax="47" xr10:uidLastSave="{67D14A64-F4B0-4EB3-8D06-019D8E06C910}"/>
  <bookViews>
    <workbookView xWindow="-110" yWindow="-110" windowWidth="19420" windowHeight="10300" firstSheet="5" activeTab="5" xr2:uid="{A51E8510-ABE1-4AEC-8639-FFA97281BD8A}"/>
  </bookViews>
  <sheets>
    <sheet name="Métricas" sheetId="7" state="hidden" r:id="rId1"/>
    <sheet name="Environment" sheetId="1" state="hidden" r:id="rId2"/>
    <sheet name="Social" sheetId="3" state="hidden" r:id="rId3"/>
    <sheet name="Governance" sheetId="4" state="hidden" r:id="rId4"/>
    <sheet name="Governance_Graf" sheetId="5" state="hidden" r:id="rId5"/>
    <sheet name="Data" sheetId="6" r:id="rId6"/>
    <sheet name="Main targets" sheetId="8" r:id="rId7"/>
  </sheets>
  <externalReferences>
    <externalReference r:id="rId8"/>
    <externalReference r:id="rId9"/>
    <externalReference r:id="rId10"/>
  </externalReferences>
  <definedNames>
    <definedName name="_ftn1" localSheetId="0">Métricas!$B$81</definedName>
    <definedName name="_ftn2" localSheetId="0">Métricas!$B$131</definedName>
    <definedName name="_ftnref1" localSheetId="0">Métricas!#REF!</definedName>
    <definedName name="_ftnref2" localSheetId="0">Métricas!$B$128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 i="8" l="1"/>
  <c r="K8" i="8"/>
  <c r="J13" i="6"/>
  <c r="J44" i="6"/>
  <c r="I15" i="8"/>
  <c r="H15" i="8"/>
  <c r="G15" i="8"/>
  <c r="I14" i="8"/>
  <c r="H14" i="8"/>
  <c r="G14" i="8"/>
  <c r="I13" i="8"/>
  <c r="H13" i="8"/>
  <c r="G13" i="8"/>
  <c r="I12" i="8"/>
  <c r="H12" i="8"/>
  <c r="G12" i="8"/>
  <c r="I11" i="8"/>
  <c r="H11" i="8"/>
  <c r="G11" i="8"/>
  <c r="I10" i="8"/>
  <c r="H10" i="8"/>
  <c r="G10" i="8"/>
  <c r="I9" i="8"/>
  <c r="H9" i="8"/>
  <c r="G9" i="8"/>
  <c r="J8" i="8"/>
  <c r="I8" i="8"/>
  <c r="H8" i="8"/>
  <c r="G8" i="8"/>
  <c r="I36" i="6"/>
  <c r="I37" i="6" s="1"/>
  <c r="H36" i="6"/>
  <c r="H37" i="6" s="1"/>
  <c r="J37" i="6" s="1"/>
  <c r="J7" i="6"/>
  <c r="J24" i="6"/>
  <c r="I17" i="6"/>
  <c r="H17" i="6"/>
  <c r="G17" i="6"/>
  <c r="I16" i="6"/>
  <c r="H16" i="6"/>
  <c r="J99" i="6"/>
  <c r="J96" i="6"/>
  <c r="H98" i="6"/>
  <c r="J101" i="6"/>
  <c r="J80" i="6"/>
  <c r="J79" i="6"/>
  <c r="J74" i="6"/>
  <c r="J75" i="6"/>
  <c r="J73" i="6"/>
  <c r="J107" i="6"/>
  <c r="J106" i="6"/>
  <c r="J104" i="6"/>
  <c r="J93" i="6"/>
  <c r="J91" i="6"/>
  <c r="I89" i="6"/>
  <c r="H89" i="6"/>
  <c r="J88" i="6"/>
  <c r="J83" i="6"/>
  <c r="J69" i="6"/>
  <c r="J70" i="6"/>
  <c r="J68" i="6"/>
  <c r="J63" i="6"/>
  <c r="I66" i="6"/>
  <c r="H66" i="6"/>
  <c r="G66" i="6"/>
  <c r="J64" i="6"/>
  <c r="J65" i="6"/>
  <c r="J59" i="6"/>
  <c r="J60" i="6"/>
  <c r="J61" i="6"/>
  <c r="J54" i="6"/>
  <c r="H53" i="6"/>
  <c r="H52" i="6"/>
  <c r="H51" i="6"/>
  <c r="J57" i="6"/>
  <c r="J30" i="6"/>
  <c r="J56" i="6"/>
  <c r="H55" i="6"/>
  <c r="I55" i="6"/>
  <c r="G53" i="6"/>
  <c r="I53" i="6"/>
  <c r="I52" i="6"/>
  <c r="I51" i="6"/>
  <c r="J50" i="6"/>
  <c r="J46" i="6"/>
  <c r="J45" i="6"/>
  <c r="I42" i="6"/>
  <c r="H42" i="6"/>
  <c r="J41" i="6"/>
  <c r="J39" i="6"/>
  <c r="I33" i="6"/>
  <c r="H33" i="6"/>
  <c r="I32" i="6"/>
  <c r="H32" i="6"/>
  <c r="I31" i="6"/>
  <c r="H31" i="6"/>
  <c r="J29" i="6"/>
  <c r="J25" i="6"/>
  <c r="J14" i="6"/>
  <c r="J12" i="6"/>
  <c r="J11" i="6"/>
  <c r="J10" i="6"/>
  <c r="E66" i="6"/>
  <c r="J66" i="6" l="1"/>
  <c r="J36" i="6"/>
  <c r="F66" i="6" l="1"/>
  <c r="F21" i="6" l="1"/>
  <c r="G21" i="6"/>
  <c r="F20" i="6"/>
  <c r="F17" i="6"/>
  <c r="F15" i="6"/>
  <c r="F16" i="6" s="1"/>
  <c r="G15" i="6"/>
  <c r="G16" i="6" s="1"/>
  <c r="E15" i="6"/>
  <c r="J15" i="6" s="1"/>
  <c r="E13" i="6"/>
  <c r="E16" i="6" l="1"/>
  <c r="J16" i="6" s="1"/>
  <c r="E17" i="6"/>
  <c r="J17" i="6" s="1"/>
  <c r="E53" i="6"/>
  <c r="J53" i="6" s="1"/>
  <c r="E89" i="6" l="1"/>
  <c r="J89" i="6" s="1"/>
  <c r="E87" i="6"/>
  <c r="J87" i="6" s="1"/>
  <c r="E86" i="6"/>
  <c r="J86" i="6" s="1"/>
  <c r="E85" i="6"/>
  <c r="J85" i="6" s="1"/>
  <c r="E84" i="6"/>
  <c r="J84" i="6" s="1"/>
  <c r="E55" i="6"/>
  <c r="J55" i="6" s="1"/>
  <c r="E52" i="6"/>
  <c r="J52" i="6" s="1"/>
  <c r="E51" i="6"/>
  <c r="J51" i="6" s="1"/>
  <c r="E42" i="6"/>
  <c r="J42" i="6" s="1"/>
  <c r="E35" i="6"/>
  <c r="J35" i="6" s="1"/>
  <c r="E26" i="6"/>
  <c r="J26" i="6" s="1"/>
  <c r="F22" i="6"/>
  <c r="E21" i="6"/>
  <c r="J21" i="6" s="1"/>
  <c r="E19" i="6"/>
  <c r="J19" i="6" s="1"/>
  <c r="E28" i="6"/>
  <c r="J28" i="6" s="1"/>
  <c r="G105" i="6"/>
  <c r="E33" i="6" l="1"/>
  <c r="J33" i="6" s="1"/>
  <c r="E22" i="6"/>
  <c r="J22" i="6" s="1"/>
  <c r="E20" i="6"/>
  <c r="J20" i="6" s="1"/>
  <c r="E32" i="6"/>
  <c r="J32" i="6" s="1"/>
  <c r="E31" i="6"/>
  <c r="J31" i="6" s="1"/>
  <c r="F133" i="7"/>
  <c r="F39" i="7" s="1"/>
  <c r="E133" i="7"/>
  <c r="E52" i="7" s="1"/>
  <c r="D133" i="7"/>
  <c r="D52" i="7" s="1"/>
  <c r="I94" i="7" s="1"/>
  <c r="C133" i="7"/>
  <c r="G133" i="7" s="1"/>
  <c r="F128" i="7"/>
  <c r="F38" i="7" s="1"/>
  <c r="E128" i="7"/>
  <c r="E36" i="7" s="1"/>
  <c r="D128" i="7"/>
  <c r="F123" i="7" s="1"/>
  <c r="C128" i="7"/>
  <c r="E124" i="7"/>
  <c r="F124" i="7" s="1"/>
  <c r="C124" i="7"/>
  <c r="D124" i="7" s="1"/>
  <c r="D122" i="7"/>
  <c r="D113" i="7"/>
  <c r="D114" i="7" s="1"/>
  <c r="C113" i="7"/>
  <c r="C114" i="7" s="1"/>
  <c r="H97" i="7"/>
  <c r="G97" i="7"/>
  <c r="H96" i="7"/>
  <c r="G96" i="7"/>
  <c r="D96" i="7"/>
  <c r="C96" i="7"/>
  <c r="H95" i="7"/>
  <c r="G95" i="7"/>
  <c r="D95" i="7"/>
  <c r="C95" i="7"/>
  <c r="H94" i="7"/>
  <c r="G94" i="7"/>
  <c r="D94" i="7"/>
  <c r="C94" i="7"/>
  <c r="H93" i="7"/>
  <c r="G93" i="7"/>
  <c r="D93" i="7"/>
  <c r="C93" i="7"/>
  <c r="H77" i="7"/>
  <c r="G77" i="7"/>
  <c r="H76" i="7"/>
  <c r="G76" i="7"/>
  <c r="H75" i="7"/>
  <c r="G75" i="7"/>
  <c r="H74" i="7"/>
  <c r="G74" i="7"/>
  <c r="H73" i="7"/>
  <c r="G73" i="7"/>
  <c r="E54" i="7"/>
  <c r="D54" i="7"/>
  <c r="I96" i="7" s="1"/>
  <c r="E53" i="7"/>
  <c r="D53" i="7"/>
  <c r="I95" i="7" s="1"/>
  <c r="F37" i="7"/>
  <c r="D65" i="7"/>
  <c r="E69" i="7"/>
  <c r="C77" i="7"/>
  <c r="C47" i="7"/>
  <c r="C46" i="7"/>
  <c r="D77" i="7"/>
  <c r="D97" i="7"/>
  <c r="C48" i="7"/>
  <c r="D69" i="7"/>
  <c r="C45" i="7"/>
  <c r="C68" i="7"/>
  <c r="D67" i="7"/>
  <c r="E64" i="7"/>
  <c r="E68" i="7"/>
  <c r="D68" i="7"/>
  <c r="D64" i="7"/>
  <c r="C64" i="7"/>
  <c r="C30" i="7"/>
  <c r="E67" i="7"/>
  <c r="C29" i="7"/>
  <c r="C49" i="7"/>
  <c r="C65" i="7"/>
  <c r="E65" i="7"/>
  <c r="C97" i="7"/>
  <c r="C67" i="7"/>
  <c r="C31" i="7"/>
  <c r="F51" i="7" l="1"/>
  <c r="F53" i="7"/>
  <c r="F55" i="7"/>
  <c r="F54" i="7"/>
  <c r="E37" i="7"/>
  <c r="F52" i="7"/>
  <c r="E51" i="7"/>
  <c r="D55" i="7"/>
  <c r="I97" i="7" s="1"/>
  <c r="E38" i="7"/>
  <c r="G128" i="7"/>
  <c r="C51" i="7"/>
  <c r="E93" i="7" s="1"/>
  <c r="F122" i="7"/>
  <c r="E35" i="7"/>
  <c r="C52" i="7"/>
  <c r="E94" i="7" s="1"/>
  <c r="D38" i="7"/>
  <c r="I76" i="7" s="1"/>
  <c r="D35" i="7"/>
  <c r="I73" i="7" s="1"/>
  <c r="E39" i="7"/>
  <c r="D51" i="7"/>
  <c r="I93" i="7" s="1"/>
  <c r="H133" i="7"/>
  <c r="G124" i="7"/>
  <c r="D37" i="7"/>
  <c r="I75" i="7" s="1"/>
  <c r="D39" i="7"/>
  <c r="I77" i="7" s="1"/>
  <c r="F121" i="7"/>
  <c r="E55" i="7"/>
  <c r="D36" i="7"/>
  <c r="I74" i="7" s="1"/>
  <c r="C39" i="7"/>
  <c r="C38" i="7"/>
  <c r="E76" i="7" s="1"/>
  <c r="C37" i="7"/>
  <c r="E75" i="7" s="1"/>
  <c r="E77" i="7"/>
  <c r="C54" i="7"/>
  <c r="E96" i="7" s="1"/>
  <c r="C53" i="7"/>
  <c r="E95" i="7" s="1"/>
  <c r="C28" i="7"/>
  <c r="C66" i="7"/>
  <c r="D66" i="7"/>
  <c r="C55" i="7"/>
  <c r="E97" i="7" s="1"/>
  <c r="E66" i="7"/>
  <c r="C75" i="7"/>
  <c r="C76" i="7"/>
  <c r="C63" i="7"/>
  <c r="E63" i="7"/>
  <c r="D76" i="7"/>
  <c r="D75" i="7"/>
  <c r="D63" i="7"/>
  <c r="F36" i="7"/>
  <c r="D121" i="7"/>
  <c r="D123" i="7"/>
  <c r="F35" i="7"/>
  <c r="G89" i="6"/>
  <c r="C36" i="7" l="1"/>
  <c r="E74" i="7" s="1"/>
  <c r="C35" i="7"/>
  <c r="E73" i="7" s="1"/>
  <c r="C73" i="7"/>
  <c r="C74" i="7"/>
  <c r="D74" i="7"/>
  <c r="D73" i="7"/>
  <c r="G107" i="6" l="1"/>
  <c r="G102" i="6"/>
  <c r="F89" i="6"/>
  <c r="F87" i="6"/>
  <c r="G87" i="6"/>
  <c r="F86" i="6"/>
  <c r="G86" i="6"/>
  <c r="F85" i="6"/>
  <c r="G85" i="6"/>
  <c r="F84" i="6"/>
  <c r="G84" i="6"/>
  <c r="F55" i="6"/>
  <c r="G55" i="6"/>
  <c r="F53" i="6"/>
  <c r="F52" i="6"/>
  <c r="G52" i="6"/>
  <c r="F51" i="6"/>
  <c r="G51" i="6"/>
  <c r="F42" i="6"/>
  <c r="G42" i="6"/>
  <c r="F35" i="6"/>
  <c r="G35" i="6"/>
  <c r="F28" i="6"/>
  <c r="G28" i="6"/>
  <c r="F26" i="6"/>
  <c r="G26" i="6"/>
  <c r="G22" i="6"/>
  <c r="G20" i="6"/>
  <c r="F48" i="1"/>
  <c r="F34" i="3"/>
  <c r="F33" i="3"/>
  <c r="F29" i="3"/>
  <c r="F28" i="3"/>
  <c r="F27" i="3"/>
  <c r="F24" i="3"/>
  <c r="F23" i="3"/>
  <c r="F22" i="3"/>
  <c r="F20" i="3"/>
  <c r="F19" i="3"/>
  <c r="F18" i="3"/>
  <c r="F17" i="3"/>
  <c r="F15" i="3"/>
  <c r="F14" i="3"/>
  <c r="F13" i="3"/>
  <c r="F11" i="3"/>
  <c r="F4" i="3"/>
  <c r="F35" i="1"/>
  <c r="F33" i="1"/>
  <c r="F32" i="1"/>
  <c r="F29" i="1"/>
  <c r="F28" i="1"/>
  <c r="F27" i="1"/>
  <c r="F26" i="1"/>
  <c r="F25" i="1"/>
  <c r="F21" i="1"/>
  <c r="F20" i="1"/>
  <c r="F17" i="1"/>
  <c r="F15" i="1"/>
  <c r="F7" i="1"/>
  <c r="F8" i="1"/>
  <c r="F9" i="1"/>
  <c r="F10" i="1"/>
  <c r="F11" i="1"/>
  <c r="F6" i="1"/>
  <c r="G37" i="1"/>
  <c r="G38" i="1"/>
  <c r="G31" i="6" l="1"/>
  <c r="G33" i="6"/>
  <c r="G32" i="6"/>
  <c r="F33" i="6"/>
  <c r="F32" i="6"/>
  <c r="F31" i="6"/>
  <c r="E37" i="1"/>
  <c r="E38" i="1"/>
  <c r="D37" i="1"/>
  <c r="F37" i="1" l="1"/>
  <c r="D38" i="1"/>
  <c r="F38" i="1" s="1"/>
  <c r="D31" i="1"/>
  <c r="E31" i="1"/>
  <c r="E10" i="3"/>
  <c r="D10" i="3"/>
  <c r="F10" i="3" s="1"/>
  <c r="E9" i="3"/>
  <c r="D9" i="3"/>
  <c r="F9" i="3" s="1"/>
  <c r="K4" i="3"/>
  <c r="E8" i="3" s="1"/>
  <c r="J4" i="3"/>
  <c r="D8" i="3" s="1"/>
  <c r="E7" i="3"/>
  <c r="D7" i="3"/>
  <c r="E6" i="3"/>
  <c r="D6" i="3"/>
  <c r="F6" i="3" s="1"/>
  <c r="E5" i="3"/>
  <c r="D5" i="3"/>
  <c r="F5" i="3" s="1"/>
  <c r="F33" i="4"/>
  <c r="F31" i="4"/>
  <c r="F26" i="4"/>
  <c r="F24" i="4"/>
  <c r="F23" i="4"/>
  <c r="F21" i="4"/>
  <c r="F20" i="4"/>
  <c r="F17" i="4"/>
  <c r="F16" i="4"/>
  <c r="F15" i="4"/>
  <c r="F14" i="4"/>
  <c r="F12" i="4"/>
  <c r="F9" i="4"/>
  <c r="F4" i="4"/>
  <c r="D29" i="4"/>
  <c r="F29" i="4" s="1"/>
  <c r="D27" i="4"/>
  <c r="E10" i="4"/>
  <c r="F8" i="3" l="1"/>
  <c r="F7" i="3"/>
  <c r="F31" i="1"/>
  <c r="E8" i="4"/>
  <c r="E6" i="4"/>
  <c r="E5" i="4"/>
  <c r="E7" i="4"/>
  <c r="D10" i="4"/>
  <c r="F10" i="4" s="1"/>
  <c r="D8" i="4"/>
  <c r="D7" i="4"/>
  <c r="D6" i="4"/>
  <c r="D5" i="4"/>
  <c r="F5" i="4" s="1"/>
  <c r="E22" i="4"/>
  <c r="D22" i="4"/>
  <c r="F22" i="4" s="1"/>
  <c r="E19" i="4"/>
  <c r="D19" i="4"/>
  <c r="K54" i="5"/>
  <c r="J54" i="5"/>
  <c r="E54" i="5"/>
  <c r="D54" i="5"/>
  <c r="G20" i="5"/>
  <c r="F20" i="5"/>
  <c r="J5" i="5"/>
  <c r="E5" i="5"/>
  <c r="J4" i="5"/>
  <c r="E4" i="5"/>
  <c r="E22" i="1"/>
  <c r="D22" i="1"/>
  <c r="F22" i="1" s="1"/>
  <c r="E18" i="1"/>
  <c r="D18" i="1"/>
  <c r="F7" i="4" l="1"/>
  <c r="F18" i="1"/>
  <c r="G18" i="1"/>
  <c r="F6" i="4"/>
  <c r="F8" i="4"/>
  <c r="F19" i="4"/>
  <c r="E16" i="1"/>
  <c r="D16" i="1"/>
  <c r="F16" i="1" s="1"/>
  <c r="E12" i="1"/>
  <c r="E13" i="1"/>
  <c r="D13" i="1"/>
  <c r="F13" i="1" s="1"/>
  <c r="D12" i="1"/>
  <c r="E24" i="1"/>
  <c r="D24" i="1"/>
  <c r="F12" i="1" l="1"/>
  <c r="F2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tc={593084DE-AB70-4CE1-8A0A-AD5DDD4726DC}</author>
  </authors>
  <commentList>
    <comment ref="C3" authorId="0" shapeId="0" xr:uid="{593084DE-AB70-4CE1-8A0A-AD5DDD4726DC}">
      <text>
        <t>[Comentario encadenado]
Su versión de Excel le permite leer este comentario encadenado; sin embargo, las ediciones que se apliquen se quitarán si el archivo se abre en una versión más reciente de Excel. Más información: https://go.microsoft.com/fwlink/?linkid=870924
Comentario:
    @Maria Merce Pomares actualitzar 2025</t>
      </text>
    </comment>
  </commentList>
</comments>
</file>

<file path=xl/sharedStrings.xml><?xml version="1.0" encoding="utf-8"?>
<sst xmlns="http://schemas.openxmlformats.org/spreadsheetml/2006/main" count="671" uniqueCount="310">
  <si>
    <t>S1-14 – Health &amp; Safety Metrics</t>
  </si>
  <si>
    <t>La empresa divulgará información sobre el grado en que su propio personal está cubierto por su sistema de gestión de la salud y la seguridad y el número de incidentes relacionados con lesiones, enfermedades y muertes relacionadas con el trabajo de su propio personal. Además, deberá revelar el número de víctimas mortales como resultado de lesiones relacionadas con el trabajo y enfermedades relacionadas con el trabajo de otros trabajadores que trabajen en las instalaciones de la empresa.</t>
  </si>
  <si>
    <t>1) Datos accidentabilidad</t>
  </si>
  <si>
    <r>
      <t xml:space="preserve">La empresa </t>
    </r>
    <r>
      <rPr>
        <u/>
        <sz val="11"/>
        <color theme="1"/>
        <rFont val="Tahoma"/>
        <family val="2"/>
      </rPr>
      <t>deberá</t>
    </r>
    <r>
      <rPr>
        <sz val="11"/>
        <color theme="1"/>
        <rFont val="Tahoma"/>
        <family val="2"/>
      </rPr>
      <t xml:space="preserve"> reportar los siguientes datos, desglosados, en su caso, entre empleados y no empleados (ETTs, contratistas, agencias de colocación) de la propia plantilla de la empresa:</t>
    </r>
  </si>
  <si>
    <t>(a) el número de víctimas mortales como resultado de lesiones y enfermedades relacionadas con el trabajo (cubrir: empleados propios, externos y trabajadores de proveedores que se encontraban en las instalaciones en el momento del suceso);</t>
  </si>
  <si>
    <t>(b) el número y el índice de accidentes laborales registrables (cubrir: empleados propios y externos): [(Número de casos/total horas trabajadas)*1.000.000]</t>
  </si>
  <si>
    <t>(c) el número de casos de recordable work-related ill health, sin perjuicio de las restricciones legales a la recopilación de datos (cubrir empleados y externos); y</t>
  </si>
  <si>
    <t>(d) el número de días perdidos por lesiones relacionadas con el trabajo, enfermedades relacionadas con el trabajo y muertes por lesiones y/o enfermedades relacionadas con el trabajo (cubrir empleados y externos).</t>
  </si>
  <si>
    <t>Los accidentes mortales pueden notificarse por separado para los que son consecuencia de lesiones relacionadas con el trabajo y para los que son consecuencia de enfermedades relacionadas con el trabajo. Las empresas incluirán los accidentes mortales causados por accidentes de trabajo en el cálculo del número y la tasa de accidentes de trabajo registrables.</t>
  </si>
  <si>
    <r>
      <t xml:space="preserve">Los work-related ill health puede incluir problemas de salud agudos, recurrentes y crónicos </t>
    </r>
    <r>
      <rPr>
        <u/>
        <sz val="11"/>
        <color theme="1"/>
        <rFont val="Tahoma"/>
        <family val="2"/>
      </rPr>
      <t>causados o agravados</t>
    </r>
    <r>
      <rPr>
        <sz val="11"/>
        <color theme="1"/>
        <rFont val="Tahoma"/>
        <family val="2"/>
      </rPr>
      <t xml:space="preserve"> por las condiciones o prácticas laborales. A efectos de la información requerida, la empresa deberá, como mínimo, incluir en su información los casos descritos en la Lista de enfermedades profesionales de la OIT.</t>
    </r>
  </si>
  <si>
    <t>La empresa contabilizará el número de días perdidos de forma que se incluyan el primer día completo y el último día de ausencia. Para el cálculo deberán tenerse en cuenta los días naturales, por lo que los días en los que la persona afectada no esté programada para trabajar (por ejemplo, fines de semana, días festivos) contarán como días perdidos.</t>
  </si>
  <si>
    <t>Métricas de salud y seguridad - Trabajadores propios</t>
  </si>
  <si>
    <r>
      <rPr>
        <b/>
        <sz val="11"/>
        <color theme="1"/>
        <rFont val="Tahoma"/>
        <family val="2"/>
      </rPr>
      <t>Nota:</t>
    </r>
    <r>
      <rPr>
        <sz val="11"/>
        <color theme="1"/>
        <rFont val="Tahoma"/>
        <family val="2"/>
      </rPr>
      <t xml:space="preserve"> LA NUEVA NORMATIVA NO PIDE DESGLOSAR DATOS POR GÉNERO, PERO EN 2023 TENEMOS QUE MANTENER EL REPORTE DESGLOSADO POR GÉNERO TAMBIÉN (EN ANEXOS)</t>
    </r>
  </si>
  <si>
    <t>Sinistralidad</t>
  </si>
  <si>
    <t>Fallecimientos por lesiones o enfermedades relacionadas con el trabajo</t>
  </si>
  <si>
    <t>Número de lesiones relacionadas con el trabajo</t>
  </si>
  <si>
    <t>Con baja</t>
  </si>
  <si>
    <t>Sin baja</t>
  </si>
  <si>
    <t>Número de enfermedades relacionadas con el trabajo</t>
  </si>
  <si>
    <t>Días perdidos (por las causas arriba mencionadas)</t>
  </si>
  <si>
    <t>Número de lesiones in-itinere</t>
  </si>
  <si>
    <t>Índices de sinistralidad</t>
  </si>
  <si>
    <t>Tasa Total de Incidentes Registrables (TRIR) - 1.000.000</t>
  </si>
  <si>
    <t>Tasa Total de Incidentes Registrables (TRIR) - 200.000</t>
  </si>
  <si>
    <t>Tasa de Frecuencia de Lesiones con Pérdida de Tiempo (LTIFR) - 1.000.000</t>
  </si>
  <si>
    <t>Tasa de Frecuencia de Lesiones con Pérdida de Tiempo (LTIR) - 200.000</t>
  </si>
  <si>
    <t>Índice de gravedad</t>
  </si>
  <si>
    <t>Métricas de salud y seguridad - Externos (contratistas y ETTs)</t>
  </si>
  <si>
    <t>Detalle para anexos del informe (solo 2023, la nueva normativa no pide desglose por género)</t>
  </si>
  <si>
    <t>Accidentes - Trabajadores propios</t>
  </si>
  <si>
    <t>Hombres</t>
  </si>
  <si>
    <t>Mujeres</t>
  </si>
  <si>
    <t>Total</t>
  </si>
  <si>
    <t>Víctimas mortales</t>
  </si>
  <si>
    <t>Accidentes en el lugar de trabajo o en misión</t>
  </si>
  <si>
    <t>Con baja médica</t>
  </si>
  <si>
    <t>Sin baja médica</t>
  </si>
  <si>
    <t>In-itinere</t>
  </si>
  <si>
    <t>Enfermedades profesionales</t>
  </si>
  <si>
    <t>Índices accidentabilidad - Trabajadores propios</t>
  </si>
  <si>
    <t>Accidentes - Externos</t>
  </si>
  <si>
    <t>Índices accidentabilidad - Externos</t>
  </si>
  <si>
    <t>2) Sistema de Gestión de la Salud y Seguridad</t>
  </si>
  <si>
    <r>
      <t xml:space="preserve">La empresa </t>
    </r>
    <r>
      <rPr>
        <u/>
        <sz val="11"/>
        <color theme="1"/>
        <rFont val="Tahoma"/>
        <family val="2"/>
      </rPr>
      <t>deberá</t>
    </r>
    <r>
      <rPr>
        <sz val="11"/>
        <color theme="1"/>
        <rFont val="Tahoma"/>
        <family val="2"/>
      </rPr>
      <t xml:space="preserve"> reportar la siguiente información:</t>
    </r>
  </si>
  <si>
    <t>(a) el porcentaje de personas que están cubiertas por el sistema de gestión de la salud y la seguridad de la empresa basado en requisitos legales y/o normas o directrices reconocidas (solo plantilla propia);</t>
  </si>
  <si>
    <t>* El porcentaje de su propia plantilla que está cubierto por el sistema de gestión de la salud y la seguridad de la empresa se divulgará sobre la base del número de personas y no sobre la base del equivalente a tiempo completo.</t>
  </si>
  <si>
    <r>
      <t xml:space="preserve">* Además, la empresa </t>
    </r>
    <r>
      <rPr>
        <u/>
        <sz val="11"/>
        <color theme="1"/>
        <rFont val="Tahoma"/>
        <family val="2"/>
      </rPr>
      <t>podrá</t>
    </r>
    <r>
      <rPr>
        <sz val="11"/>
        <color theme="1"/>
        <rFont val="Tahoma"/>
        <family val="2"/>
      </rPr>
      <t xml:space="preserve"> incluir la siguiente información adicional sobre la cobertura de salud y seguridad: el porcentaje de sus propios trabajadores cubiertos por un sistema de gestión de salud y seguridad que se base en requisitos legales y/o normas o directrices reconocidas y que haya sido auditado internamente y/o auditado o certificado por una parte externa.</t>
    </r>
  </si>
  <si>
    <t>Requerimiento opcional, recomendamos reportar</t>
  </si>
  <si>
    <t>* Cuando el sistema de gestión de la salud y la seguridad de la empresa, o determinadas partes del mismo, hayan sido objeto de una auditoría interna o de una certificación externa, la empresa podrá hacer constar este hecho, o la ausencia del mismo, y las normas subyacentes a dichas auditorías/certificaciones, según proceda.</t>
  </si>
  <si>
    <t>Empleados cubiertos por Sistema de Gestión</t>
  </si>
  <si>
    <t>Sistema de Gestión de Salud y Seguridad certificado conforme a ISO 45001 (% empleados)</t>
  </si>
  <si>
    <t>Waterlinx (2022, 2023) + Trace (2023)</t>
  </si>
  <si>
    <t>Sistema de Gestión de Salud y Seguridad no certificado pero basado en ISO 45001 &amp; OHSAS (% empleados)</t>
  </si>
  <si>
    <t>3) Absentismo (solo en 2023, la nueva Ley no lo pide)</t>
  </si>
  <si>
    <t>Horas perdidas</t>
  </si>
  <si>
    <t>%</t>
  </si>
  <si>
    <t>Por accidentes y enfermedades (comunes y laborales)</t>
  </si>
  <si>
    <t>Absentismo parental</t>
  </si>
  <si>
    <t>Absentismo por permisos y licencias</t>
  </si>
  <si>
    <t>Total horas absentismo</t>
  </si>
  <si>
    <t>Total horas trabajadas (empleados)</t>
  </si>
  <si>
    <t>Total horas trabajadas (externos)</t>
  </si>
  <si>
    <t>General indicators</t>
  </si>
  <si>
    <t>Unit</t>
  </si>
  <si>
    <t>Y-o-Y</t>
  </si>
  <si>
    <t>Target (if applicable)</t>
  </si>
  <si>
    <t>Page</t>
  </si>
  <si>
    <t>Total sales</t>
  </si>
  <si>
    <t>M€</t>
  </si>
  <si>
    <t>Environmental indicators</t>
  </si>
  <si>
    <t>Carbon Footprint</t>
  </si>
  <si>
    <t>Scope 1 GHG Emissions</t>
  </si>
  <si>
    <t>tnCO2</t>
  </si>
  <si>
    <t>-</t>
  </si>
  <si>
    <t>Scope 2 GHG Emissions (market)</t>
  </si>
  <si>
    <t>Scope 2 GHG Emissions (location)</t>
  </si>
  <si>
    <t>Scopes 1+2 Emissions</t>
  </si>
  <si>
    <t>Scope 3 GHG Emissions</t>
  </si>
  <si>
    <t>Carbon Footprint - Total</t>
  </si>
  <si>
    <t>Carbon Footprint intensity - Total</t>
  </si>
  <si>
    <t>tnCO2/M€ sales</t>
  </si>
  <si>
    <t>Carbon Footprint intensity - Scopes 1&amp;2</t>
  </si>
  <si>
    <t>Energy</t>
  </si>
  <si>
    <t>Total energy consumption</t>
  </si>
  <si>
    <t>MWh</t>
  </si>
  <si>
    <t>% renewable energy</t>
  </si>
  <si>
    <t>% renewable electricity</t>
  </si>
  <si>
    <t>Energy consumption intensity</t>
  </si>
  <si>
    <t>MWh/M€ sales</t>
  </si>
  <si>
    <t>Water</t>
  </si>
  <si>
    <t>Water consumption</t>
  </si>
  <si>
    <t>m3</t>
  </si>
  <si>
    <t>Water-Stress consumption</t>
  </si>
  <si>
    <t>Water consumption intensity</t>
  </si>
  <si>
    <t>m3/M€ sales</t>
  </si>
  <si>
    <t>Waste</t>
  </si>
  <si>
    <t>Total waste generated</t>
  </si>
  <si>
    <t>tn</t>
  </si>
  <si>
    <t>Total hazardous waste generated</t>
  </si>
  <si>
    <t>Total non-hazardous waste generated</t>
  </si>
  <si>
    <t>% waste generated sent to landfill</t>
  </si>
  <si>
    <t>% waste generated recycled</t>
  </si>
  <si>
    <t>% waste generated incinerated</t>
  </si>
  <si>
    <t>Raw Materials</t>
  </si>
  <si>
    <t>Total Raw Materials</t>
  </si>
  <si>
    <t>Recycled Raw Materials</t>
  </si>
  <si>
    <t>Non-recycled Raw Materials</t>
  </si>
  <si>
    <t>Sustainable products</t>
  </si>
  <si>
    <t>% Sustainable products sales</t>
  </si>
  <si>
    <t>Environmental management system</t>
  </si>
  <si>
    <t>Companies certified under ISO14001</t>
  </si>
  <si>
    <t>% Production companies certified under ISO14001</t>
  </si>
  <si>
    <t>Para pedir en workiva 2024</t>
  </si>
  <si>
    <t>% NPD Projects with Eco-Criteria</t>
  </si>
  <si>
    <t>?</t>
  </si>
  <si>
    <t>N/A</t>
  </si>
  <si>
    <t>Social</t>
  </si>
  <si>
    <t>Workforce</t>
  </si>
  <si>
    <t>2023 executives</t>
  </si>
  <si>
    <t>2022 executives</t>
  </si>
  <si>
    <t>Total empleados</t>
  </si>
  <si>
    <t>Headcount</t>
  </si>
  <si>
    <t>%Permanent</t>
  </si>
  <si>
    <t>%Temporary</t>
  </si>
  <si>
    <t>%Women in workforce</t>
  </si>
  <si>
    <t>%Executive and Senior Management Women</t>
  </si>
  <si>
    <t>%Employees with disability certificate</t>
  </si>
  <si>
    <t>Total turnover</t>
  </si>
  <si>
    <t>% Workforce covered by collective agreements</t>
  </si>
  <si>
    <t>Workforce engagement</t>
  </si>
  <si>
    <t>Satisfaction &amp; Engagement survey participation</t>
  </si>
  <si>
    <t>Engagement level</t>
  </si>
  <si>
    <t>e-NPS</t>
  </si>
  <si>
    <t>Talent</t>
  </si>
  <si>
    <t>Average training hours</t>
  </si>
  <si>
    <t>Average training hours by employee</t>
  </si>
  <si>
    <t>Total Training invest</t>
  </si>
  <si>
    <t>% of workforce elegible with respect to total workforce</t>
  </si>
  <si>
    <t>Remuneration</t>
  </si>
  <si>
    <t>Average remuneration</t>
  </si>
  <si>
    <t>Adjusted pay gap</t>
  </si>
  <si>
    <r>
      <rPr>
        <sz val="11"/>
        <color theme="0"/>
        <rFont val="Tahoma"/>
        <family val="2"/>
      </rPr>
      <t>"</t>
    </r>
    <r>
      <rPr>
        <sz val="11"/>
        <color theme="1"/>
        <rFont val="Tahoma"/>
        <family val="2"/>
      </rPr>
      <t>+/-3%</t>
    </r>
  </si>
  <si>
    <t>Non-Adjusted pay gap</t>
  </si>
  <si>
    <t>CEO-to-employee gap</t>
  </si>
  <si>
    <t>Health &amp; Safety</t>
  </si>
  <si>
    <t>TRIR - 1,000,000</t>
  </si>
  <si>
    <t>LTIFR - 1,000,000</t>
  </si>
  <si>
    <t>Severity rate</t>
  </si>
  <si>
    <t>Fatalities</t>
  </si>
  <si>
    <t>Work related illnesses</t>
  </si>
  <si>
    <t>Comunity</t>
  </si>
  <si>
    <t>Investment in community actions</t>
  </si>
  <si>
    <t xml:space="preserve">Number of people benefited by social action initiatives </t>
  </si>
  <si>
    <t>Governance</t>
  </si>
  <si>
    <t>Governing bodies structure</t>
  </si>
  <si>
    <t>Total board of directors</t>
  </si>
  <si>
    <t>%Executive directors</t>
  </si>
  <si>
    <t>%Propietary directors</t>
  </si>
  <si>
    <t>%Independent directos</t>
  </si>
  <si>
    <t>%Women at Board</t>
  </si>
  <si>
    <t>Total MAC members</t>
  </si>
  <si>
    <t>%Women at MAC</t>
  </si>
  <si>
    <t>Confidential Channel</t>
  </si>
  <si>
    <t>Complaints received through the Confidential Channel</t>
  </si>
  <si>
    <t>Customer</t>
  </si>
  <si>
    <t>Global satisfaction index</t>
  </si>
  <si>
    <t>AMER</t>
  </si>
  <si>
    <t>EMEA</t>
  </si>
  <si>
    <t>APAC</t>
  </si>
  <si>
    <t>Fiscalidad</t>
  </si>
  <si>
    <t>Total tax paid</t>
  </si>
  <si>
    <t>€</t>
  </si>
  <si>
    <t>Corporate Tax</t>
  </si>
  <si>
    <t>Social Security Payable by company</t>
  </si>
  <si>
    <t>Taxes Collected</t>
  </si>
  <si>
    <t>Value added tax</t>
  </si>
  <si>
    <t>Personal income tax  withholdings</t>
  </si>
  <si>
    <t>Supply Chain</t>
  </si>
  <si>
    <t>Total of Suppliers</t>
  </si>
  <si>
    <t>%Critical suppliers</t>
  </si>
  <si>
    <t>Critical suppliers audits</t>
  </si>
  <si>
    <t>% Ethic code acceptance</t>
  </si>
  <si>
    <t>Cibersecurity</t>
  </si>
  <si>
    <t xml:space="preserve">Relevant incidents managed </t>
  </si>
  <si>
    <t>Ratings</t>
  </si>
  <si>
    <t>S&amp;P</t>
  </si>
  <si>
    <t>CDP</t>
  </si>
  <si>
    <t>A-</t>
  </si>
  <si>
    <t>B</t>
  </si>
  <si>
    <t>↑</t>
  </si>
  <si>
    <t>Corporate Governance</t>
  </si>
  <si>
    <t>Integrantes Consejo de Administracion</t>
  </si>
  <si>
    <t>Integrantes MAC</t>
  </si>
  <si>
    <t>%Mujeres</t>
  </si>
  <si>
    <t>%Hombres</t>
  </si>
  <si>
    <t>Corruption and Bribery</t>
  </si>
  <si>
    <t>Money laundering</t>
  </si>
  <si>
    <t>Data protection</t>
  </si>
  <si>
    <t>Conflicts of interest</t>
  </si>
  <si>
    <t>Human Rights</t>
  </si>
  <si>
    <t>Discrimination and harassment</t>
  </si>
  <si>
    <t>Other</t>
  </si>
  <si>
    <t>Indice de satisfaccion de cliente global</t>
  </si>
  <si>
    <t>Social Security Payale by company</t>
  </si>
  <si>
    <t>Sustainability-related performance</t>
  </si>
  <si>
    <t>Last update: April 15th, 2026</t>
  </si>
  <si>
    <t>vs. 2021</t>
  </si>
  <si>
    <t>Integrated Report (p.)</t>
  </si>
  <si>
    <t>tnCO₂</t>
  </si>
  <si>
    <t>Scope 2 GHG Emissions (market based)</t>
  </si>
  <si>
    <t>Scope 2 GHG Emissions (location based)</t>
  </si>
  <si>
    <t>Scopes 1+2 Emissions (market based)</t>
  </si>
  <si>
    <t>tnCO₂/M€ sales</t>
  </si>
  <si>
    <t>% Renewable energy</t>
  </si>
  <si>
    <t>% Renewable electricity</t>
  </si>
  <si>
    <t>m³</t>
  </si>
  <si>
    <t>Water consumption (in extreme water stress areas)</t>
  </si>
  <si>
    <t>m³/M€ sales</t>
  </si>
  <si>
    <t>% Waste generated sent to landfill</t>
  </si>
  <si>
    <t>% Waste generated recycled</t>
  </si>
  <si>
    <t>% Waste generated incinerated</t>
  </si>
  <si>
    <t xml:space="preserve">EU Taxonomy </t>
  </si>
  <si>
    <t>Elegible Revenue</t>
  </si>
  <si>
    <t>Elegible CapEx</t>
  </si>
  <si>
    <t>Elegible OpEx</t>
  </si>
  <si>
    <t>Alignment (Revenue/CapEx/OpEx)</t>
  </si>
  <si>
    <t>Total employees</t>
  </si>
  <si>
    <t>headcount</t>
  </si>
  <si>
    <t>% Permanent</t>
  </si>
  <si>
    <t>% Temporary</t>
  </si>
  <si>
    <t>% Women in workforce</t>
  </si>
  <si>
    <t>% Women in Executive and Management positions</t>
  </si>
  <si>
    <t>% Employees with disability certificate</t>
  </si>
  <si>
    <t>points</t>
  </si>
  <si>
    <t>Total training hours</t>
  </si>
  <si>
    <t>hours</t>
  </si>
  <si>
    <t>Total Training investment</t>
  </si>
  <si>
    <t>Employees with annual performance development reviews</t>
  </si>
  <si>
    <t>rate</t>
  </si>
  <si>
    <t>TRIR - 200,000 (Own worforce + Contractors)</t>
  </si>
  <si>
    <t>LTIFR - 1,000,000 (Own workforce + Contractors)</t>
  </si>
  <si>
    <t>Severity rate (Own workforce + Contractors)</t>
  </si>
  <si>
    <t>Fatalities (Own workforce + Contractors)</t>
  </si>
  <si>
    <t>number</t>
  </si>
  <si>
    <t>Work related illnesses (Own workforce + Contractors)</t>
  </si>
  <si>
    <t>Investment in social action</t>
  </si>
  <si>
    <t>Number of people benefited by social action</t>
  </si>
  <si>
    <t>Board of Directors' members</t>
  </si>
  <si>
    <t>% Executive directors</t>
  </si>
  <si>
    <t>% Propietary directors</t>
  </si>
  <si>
    <t>% Independent directors</t>
  </si>
  <si>
    <t>% Women at Board</t>
  </si>
  <si>
    <t>MAC members</t>
  </si>
  <si>
    <t>% Women at MAC</t>
  </si>
  <si>
    <t>Complaints received</t>
  </si>
  <si>
    <t>Tax contributions</t>
  </si>
  <si>
    <t>% Critical suppliers</t>
  </si>
  <si>
    <t>% Purchase volume of critical suppliers</t>
  </si>
  <si>
    <t>Total suppliers audits</t>
  </si>
  <si>
    <t>% Critical suppliers audited</t>
  </si>
  <si>
    <t>% Purchase volume</t>
  </si>
  <si>
    <t>Information Security Breaches</t>
  </si>
  <si>
    <t>CDP (Climate Change)</t>
  </si>
  <si>
    <t>score</t>
  </si>
  <si>
    <t>B-</t>
  </si>
  <si>
    <t>Sustainalytics</t>
  </si>
  <si>
    <t>ISS Corporate Rating</t>
  </si>
  <si>
    <t>C</t>
  </si>
  <si>
    <t>MSCI</t>
  </si>
  <si>
    <t>BBB</t>
  </si>
  <si>
    <t>A</t>
  </si>
  <si>
    <t>Main sustainability-related targets</t>
  </si>
  <si>
    <t>Performance</t>
  </si>
  <si>
    <t>Targets</t>
  </si>
  <si>
    <t>Pillar</t>
  </si>
  <si>
    <t>Topic</t>
  </si>
  <si>
    <t>Target</t>
  </si>
  <si>
    <t>Target year</t>
  </si>
  <si>
    <t>Final</t>
  </si>
  <si>
    <t>Environment</t>
  </si>
  <si>
    <t>Climate Change</t>
  </si>
  <si>
    <t>Carbon neutrality in Scopes 1&amp;2</t>
  </si>
  <si>
    <t>Carbon neutrality in Scope 3</t>
  </si>
  <si>
    <t>100% Renewable electricity consumption</t>
  </si>
  <si>
    <t>Sustainable Products</t>
  </si>
  <si>
    <t xml:space="preserve">80% of sustainable products sales (€) </t>
  </si>
  <si>
    <t>DEI</t>
  </si>
  <si>
    <t>Community</t>
  </si>
  <si>
    <t>ESG Ratings</t>
  </si>
  <si>
    <t>S&amp;P CSA Score</t>
  </si>
  <si>
    <t>Customer satisfaction</t>
  </si>
  <si>
    <t>Increase customer satisfaction by 10% (vs. 2021)</t>
  </si>
  <si>
    <t>Companies certified under ISO 14001</t>
  </si>
  <si>
    <t>% Production companies certified under ISO 14001</t>
  </si>
  <si>
    <t>thousand €</t>
  </si>
  <si>
    <t>% Code of Ethics for Suppliers acceptance (critical suppliers)</t>
  </si>
  <si>
    <t>AA</t>
  </si>
  <si>
    <t>↓</t>
  </si>
  <si>
    <t>C+ (Prime)</t>
  </si>
  <si>
    <t>Last update: April 15th, 2025</t>
  </si>
  <si>
    <t>Total Tax Contribution</t>
  </si>
  <si>
    <t>Total taxes borne</t>
  </si>
  <si>
    <r>
      <t>Tota</t>
    </r>
    <r>
      <rPr>
        <sz val="11"/>
        <rFont val="Tahoma"/>
        <family val="2"/>
      </rPr>
      <t>l taxes collected</t>
    </r>
  </si>
  <si>
    <t>Distributed tax value</t>
  </si>
  <si>
    <t>Corporate income tax paid</t>
  </si>
  <si>
    <t>209-210</t>
  </si>
  <si>
    <t>±3%</t>
  </si>
  <si>
    <t>Adjusted gender net wage gap (±3%)</t>
  </si>
  <si>
    <t>Benefit people through social action</t>
  </si>
  <si>
    <t>*In 2025, the methodology for calculating the overall customer satisfaction index was updated, removing the weighting based on each region’s contribution to total sales.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</si>
</sst>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 _€_-;\-* #,##0.00\ _€_-;_-* &quot;-&quot;??\ _€_-;_-@_-"/>
    <numFmt numFmtId="165" formatCode="_-* #,##0.0_-;\-* #,##0.0_-;_-* &quot;-&quot;??_-;_-@_-"/>
    <numFmt numFmtId="166" formatCode="_-* #,##0_-;\-* #,##0_-;_-* &quot;-&quot;??_-;_-@_-"/>
    <numFmt numFmtId="167" formatCode="0.0"/>
    <numFmt numFmtId="168" formatCode="0.0%"/>
    <numFmt numFmtId="169" formatCode="#,##0.0"/>
    <numFmt numFmtId="170" formatCode="#,##0_ ;\-#,##0\ "/>
  </numFmts>
  <fonts count="11" x14ac:knownFonts="1">
    <font>
      <sz val="11"/>
      <color theme="1"/>
      <name val="Tahoma"/>
      <family val="2"/>
    </font>
    <font>
      <b/>
      <sz val="11"/>
      <color theme="0"/>
      <name val="Tahoma"/>
      <family val="2"/>
    </font>
    <font>
      <b/>
      <sz val="11"/>
      <color theme="1"/>
      <name val="Tahoma"/>
      <family val="2"/>
    </font>
    <font>
      <sz val="11"/>
      <color theme="1"/>
      <name val="Tahoma"/>
      <family val="2"/>
    </font>
    <font>
      <sz val="11"/>
      <color theme="0"/>
      <name val="Tahoma"/>
      <family val="2"/>
    </font>
    <font>
      <b/>
      <sz val="14"/>
      <color rgb="FF002060"/>
      <name val="Tahoma"/>
      <family val="2"/>
    </font>
    <font>
      <u/>
      <sz val="11"/>
      <color theme="1"/>
      <name val="Tahoma"/>
      <family val="2"/>
    </font>
    <font>
      <sz val="11"/>
      <name val="Tahoma"/>
      <family val="2"/>
    </font>
    <font>
      <b/>
      <sz val="11"/>
      <color rgb="FFFF0000"/>
      <name val="Tahoma"/>
      <family val="2"/>
    </font>
    <font>
      <sz val="12"/>
      <color theme="1"/>
      <name val="Times New Roman"/>
      <family val="1"/>
    </font>
    <font>
      <sz val="8"/>
      <color theme="1"/>
      <name val="Tahoma"/>
      <family val="2"/>
    </font>
  </fonts>
  <fills count="11">
    <fill>
      <patternFill patternType="none"/>
    </fill>
    <fill>
      <patternFill patternType="gray125"/>
    </fill>
    <fill>
      <patternFill patternType="solid">
        <fgColor theme="9"/>
        <bgColor indexed="64"/>
      </patternFill>
    </fill>
    <fill>
      <patternFill patternType="solid">
        <fgColor theme="2" tint="-9.9978637043366805E-2"/>
        <bgColor indexed="64"/>
      </patternFill>
    </fill>
    <fill>
      <patternFill patternType="solid">
        <fgColor rgb="FF002060"/>
        <bgColor indexed="64"/>
      </patternFill>
    </fill>
    <fill>
      <patternFill patternType="solid">
        <fgColor rgb="FFFF5D5D"/>
        <bgColor indexed="64"/>
      </patternFill>
    </fill>
    <fill>
      <patternFill patternType="solid">
        <fgColor theme="4" tint="-0.499984740745262"/>
        <bgColor indexed="64"/>
      </patternFill>
    </fill>
    <fill>
      <patternFill patternType="solid">
        <fgColor theme="4"/>
        <bgColor indexed="64"/>
      </patternFill>
    </fill>
    <fill>
      <patternFill patternType="solid">
        <fgColor rgb="FFFFFF00"/>
        <bgColor indexed="64"/>
      </patternFill>
    </fill>
    <fill>
      <patternFill patternType="solid">
        <fgColor theme="0"/>
        <bgColor indexed="64"/>
      </patternFill>
    </fill>
    <fill>
      <patternFill patternType="solid">
        <fgColor theme="0" tint="-0.34998626667073579"/>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rgb="FF001A70"/>
      </top>
      <bottom style="thin">
        <color indexed="64"/>
      </bottom>
      <diagonal/>
    </border>
    <border>
      <left/>
      <right style="thin">
        <color indexed="64"/>
      </right>
      <top style="medium">
        <color rgb="FF001A70"/>
      </top>
      <bottom style="thin">
        <color indexed="64"/>
      </bottom>
      <diagonal/>
    </border>
    <border>
      <left style="thin">
        <color indexed="64"/>
      </left>
      <right/>
      <top style="medium">
        <color rgb="FF001A70"/>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4">
    <xf numFmtId="0" fontId="0" fillId="0" borderId="0"/>
    <xf numFmtId="43" fontId="3" fillId="0" borderId="0" applyFont="0" applyFill="0" applyBorder="0" applyAlignment="0" applyProtection="0"/>
    <xf numFmtId="9" fontId="3" fillId="0" borderId="0" applyFont="0" applyFill="0" applyBorder="0" applyAlignment="0" applyProtection="0"/>
    <xf numFmtId="164" fontId="3" fillId="0" borderId="0" applyFont="0" applyFill="0" applyBorder="0" applyAlignment="0" applyProtection="0"/>
  </cellStyleXfs>
  <cellXfs count="230">
    <xf numFmtId="0" fontId="0" fillId="0" borderId="0" xfId="0"/>
    <xf numFmtId="0" fontId="0" fillId="0" borderId="0" xfId="0" applyAlignment="1">
      <alignment horizontal="center" vertical="center"/>
    </xf>
    <xf numFmtId="9" fontId="0" fillId="0" borderId="0" xfId="2" applyFont="1" applyAlignment="1">
      <alignment horizontal="center" vertical="center"/>
    </xf>
    <xf numFmtId="0" fontId="0" fillId="0" borderId="0" xfId="0" applyAlignment="1">
      <alignment horizontal="left" indent="2"/>
    </xf>
    <xf numFmtId="0" fontId="1" fillId="6" borderId="0" xfId="0" applyFont="1" applyFill="1"/>
    <xf numFmtId="0" fontId="1" fillId="6" borderId="0" xfId="0" applyFont="1" applyFill="1" applyAlignment="1">
      <alignment horizontal="center" vertical="center"/>
    </xf>
    <xf numFmtId="0" fontId="0" fillId="0" borderId="0" xfId="0" applyAlignment="1">
      <alignment horizontal="left"/>
    </xf>
    <xf numFmtId="0" fontId="0" fillId="0" borderId="0" xfId="0" applyAlignment="1">
      <alignment horizontal="center"/>
    </xf>
    <xf numFmtId="9" fontId="0" fillId="0" borderId="0" xfId="2" applyFont="1" applyAlignment="1">
      <alignment horizontal="center"/>
    </xf>
    <xf numFmtId="0" fontId="2" fillId="0" borderId="0" xfId="0" applyFont="1" applyAlignment="1">
      <alignment horizontal="left"/>
    </xf>
    <xf numFmtId="0" fontId="2" fillId="0" borderId="0" xfId="0" applyFont="1"/>
    <xf numFmtId="0" fontId="2" fillId="0" borderId="0" xfId="0" applyFont="1" applyAlignment="1">
      <alignment horizontal="center" vertical="center"/>
    </xf>
    <xf numFmtId="0" fontId="2" fillId="0" borderId="0" xfId="0" applyFont="1" applyAlignment="1">
      <alignment horizontal="center"/>
    </xf>
    <xf numFmtId="0" fontId="0" fillId="0" borderId="0" xfId="0" applyAlignment="1">
      <alignment horizontal="right"/>
    </xf>
    <xf numFmtId="0" fontId="0" fillId="0" borderId="0" xfId="0" applyAlignment="1">
      <alignment horizontal="right" indent="2"/>
    </xf>
    <xf numFmtId="166" fontId="0" fillId="0" borderId="0" xfId="1" applyNumberFormat="1" applyFont="1" applyAlignment="1">
      <alignment horizontal="center"/>
    </xf>
    <xf numFmtId="0" fontId="2" fillId="0" borderId="0" xfId="0" applyFont="1" applyAlignment="1">
      <alignment horizontal="right"/>
    </xf>
    <xf numFmtId="0" fontId="0" fillId="0" borderId="0" xfId="0" applyAlignment="1">
      <alignment horizontal="right" vertical="center"/>
    </xf>
    <xf numFmtId="0" fontId="1" fillId="7" borderId="1" xfId="0" applyFont="1" applyFill="1" applyBorder="1"/>
    <xf numFmtId="0" fontId="1" fillId="7" borderId="2" xfId="0" applyFont="1" applyFill="1" applyBorder="1"/>
    <xf numFmtId="0" fontId="1" fillId="7" borderId="2" xfId="0" applyFont="1" applyFill="1" applyBorder="1" applyAlignment="1">
      <alignment horizontal="right" vertical="center"/>
    </xf>
    <xf numFmtId="0" fontId="1" fillId="7" borderId="2" xfId="0" applyFont="1" applyFill="1" applyBorder="1" applyAlignment="1">
      <alignment horizontal="center" vertical="center"/>
    </xf>
    <xf numFmtId="0" fontId="1" fillId="7" borderId="3" xfId="0" applyFont="1" applyFill="1" applyBorder="1" applyAlignment="1">
      <alignment horizontal="center" vertical="center"/>
    </xf>
    <xf numFmtId="0" fontId="2" fillId="0" borderId="4" xfId="0" applyFont="1" applyBorder="1"/>
    <xf numFmtId="9" fontId="3" fillId="0" borderId="0" xfId="2" applyFont="1" applyBorder="1" applyAlignment="1">
      <alignment horizontal="right"/>
    </xf>
    <xf numFmtId="0" fontId="0" fillId="0" borderId="4" xfId="0" applyBorder="1" applyAlignment="1">
      <alignment horizontal="left" indent="2"/>
    </xf>
    <xf numFmtId="9" fontId="0" fillId="0" borderId="0" xfId="2" applyFont="1" applyBorder="1" applyAlignment="1">
      <alignment horizontal="right"/>
    </xf>
    <xf numFmtId="0" fontId="0" fillId="0" borderId="4" xfId="0" applyBorder="1"/>
    <xf numFmtId="2" fontId="0" fillId="0" borderId="0" xfId="0" applyNumberFormat="1" applyAlignment="1">
      <alignment horizontal="right"/>
    </xf>
    <xf numFmtId="0" fontId="0" fillId="0" borderId="4" xfId="0" applyBorder="1" applyAlignment="1">
      <alignment horizontal="left"/>
    </xf>
    <xf numFmtId="166" fontId="2" fillId="0" borderId="0" xfId="0" applyNumberFormat="1" applyFont="1" applyAlignment="1">
      <alignment horizontal="right"/>
    </xf>
    <xf numFmtId="166" fontId="0" fillId="0" borderId="0" xfId="1" applyNumberFormat="1" applyFont="1" applyBorder="1" applyAlignment="1">
      <alignment horizontal="right"/>
    </xf>
    <xf numFmtId="0" fontId="0" fillId="0" borderId="5" xfId="0" applyBorder="1" applyAlignment="1">
      <alignment horizontal="center" vertical="center"/>
    </xf>
    <xf numFmtId="168" fontId="0" fillId="0" borderId="0" xfId="2" applyNumberFormat="1" applyFont="1" applyBorder="1" applyAlignment="1">
      <alignment horizontal="right" vertical="center"/>
    </xf>
    <xf numFmtId="9" fontId="0" fillId="0" borderId="0" xfId="0" applyNumberFormat="1" applyAlignment="1">
      <alignment horizontal="right" vertical="center"/>
    </xf>
    <xf numFmtId="0" fontId="0" fillId="0" borderId="4" xfId="0" applyBorder="1" applyAlignment="1">
      <alignment wrapText="1"/>
    </xf>
    <xf numFmtId="0" fontId="0" fillId="0" borderId="6" xfId="0" applyBorder="1"/>
    <xf numFmtId="0" fontId="0" fillId="0" borderId="7" xfId="0" applyBorder="1"/>
    <xf numFmtId="0" fontId="0" fillId="0" borderId="7" xfId="0" applyBorder="1" applyAlignment="1">
      <alignment horizontal="right"/>
    </xf>
    <xf numFmtId="9" fontId="3" fillId="0" borderId="7" xfId="2" applyFont="1" applyBorder="1" applyAlignment="1">
      <alignment horizontal="right" vertical="top"/>
    </xf>
    <xf numFmtId="0" fontId="2" fillId="3" borderId="9" xfId="0" applyFont="1" applyFill="1" applyBorder="1"/>
    <xf numFmtId="0" fontId="2" fillId="3" borderId="10" xfId="0" applyFont="1" applyFill="1" applyBorder="1"/>
    <xf numFmtId="0" fontId="2" fillId="3" borderId="10" xfId="0" applyFont="1" applyFill="1" applyBorder="1" applyAlignment="1">
      <alignment horizontal="right" vertical="center"/>
    </xf>
    <xf numFmtId="0" fontId="2" fillId="3" borderId="10" xfId="0" applyFont="1" applyFill="1" applyBorder="1" applyAlignment="1">
      <alignment horizontal="center" vertical="center"/>
    </xf>
    <xf numFmtId="0" fontId="2" fillId="3" borderId="11" xfId="0" applyFont="1" applyFill="1" applyBorder="1" applyAlignment="1">
      <alignment horizontal="center" vertical="center"/>
    </xf>
    <xf numFmtId="166" fontId="0" fillId="0" borderId="0" xfId="1" applyNumberFormat="1" applyFont="1" applyBorder="1" applyAlignment="1">
      <alignment horizontal="right" vertical="center"/>
    </xf>
    <xf numFmtId="9" fontId="0" fillId="0" borderId="0" xfId="2" applyFont="1" applyBorder="1" applyAlignment="1">
      <alignment horizontal="right" vertical="center"/>
    </xf>
    <xf numFmtId="165" fontId="0" fillId="0" borderId="0" xfId="1" applyNumberFormat="1" applyFont="1" applyBorder="1" applyAlignment="1">
      <alignment horizontal="right" vertical="center"/>
    </xf>
    <xf numFmtId="166" fontId="0" fillId="0" borderId="0" xfId="1" applyNumberFormat="1" applyFont="1" applyBorder="1"/>
    <xf numFmtId="168" fontId="0" fillId="0" borderId="0" xfId="0" applyNumberFormat="1"/>
    <xf numFmtId="9" fontId="0" fillId="0" borderId="0" xfId="0" applyNumberFormat="1"/>
    <xf numFmtId="166" fontId="0" fillId="0" borderId="0" xfId="1" applyNumberFormat="1" applyFont="1" applyBorder="1" applyAlignment="1">
      <alignment horizontal="center" vertical="center"/>
    </xf>
    <xf numFmtId="0" fontId="0" fillId="0" borderId="6" xfId="0" applyBorder="1" applyAlignment="1">
      <alignment wrapText="1"/>
    </xf>
    <xf numFmtId="166" fontId="0" fillId="0" borderId="7" xfId="1" applyNumberFormat="1"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1" fillId="5" borderId="9" xfId="0" applyFont="1" applyFill="1" applyBorder="1"/>
    <xf numFmtId="0" fontId="1" fillId="5" borderId="10" xfId="0" applyFont="1" applyFill="1" applyBorder="1"/>
    <xf numFmtId="0" fontId="1" fillId="5" borderId="10" xfId="0" applyFont="1" applyFill="1" applyBorder="1" applyAlignment="1">
      <alignment horizontal="center" vertical="center"/>
    </xf>
    <xf numFmtId="0" fontId="1" fillId="5" borderId="11" xfId="0" applyFont="1" applyFill="1" applyBorder="1" applyAlignment="1">
      <alignment horizontal="center" vertical="center"/>
    </xf>
    <xf numFmtId="2" fontId="0" fillId="0" borderId="0" xfId="0" applyNumberFormat="1" applyAlignment="1">
      <alignment horizontal="right" vertical="center"/>
    </xf>
    <xf numFmtId="167" fontId="0" fillId="0" borderId="0" xfId="0" applyNumberFormat="1" applyAlignment="1">
      <alignment horizontal="right" vertical="center"/>
    </xf>
    <xf numFmtId="9" fontId="0" fillId="0" borderId="7" xfId="2" applyFont="1" applyBorder="1" applyAlignment="1">
      <alignment horizontal="right" vertical="center"/>
    </xf>
    <xf numFmtId="9" fontId="0" fillId="0" borderId="7" xfId="0" applyNumberFormat="1" applyBorder="1" applyAlignment="1">
      <alignment horizontal="right" vertical="center"/>
    </xf>
    <xf numFmtId="0" fontId="1" fillId="4" borderId="9" xfId="0" applyFont="1" applyFill="1" applyBorder="1"/>
    <xf numFmtId="0" fontId="1" fillId="4" borderId="10" xfId="0" applyFont="1" applyFill="1" applyBorder="1"/>
    <xf numFmtId="0" fontId="1" fillId="4" borderId="10" xfId="0" applyFont="1" applyFill="1" applyBorder="1" applyAlignment="1">
      <alignment horizontal="right"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2" borderId="9" xfId="0" applyFont="1" applyFill="1" applyBorder="1"/>
    <xf numFmtId="0" fontId="1" fillId="2" borderId="10" xfId="0" applyFont="1" applyFill="1" applyBorder="1"/>
    <xf numFmtId="0" fontId="1" fillId="2" borderId="10" xfId="0" applyFont="1" applyFill="1" applyBorder="1" applyAlignment="1">
      <alignment horizontal="right"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9" fontId="2" fillId="0" borderId="0" xfId="2" applyFont="1" applyBorder="1" applyAlignment="1">
      <alignment horizontal="right"/>
    </xf>
    <xf numFmtId="0" fontId="0" fillId="0" borderId="5" xfId="0" applyBorder="1" applyAlignment="1">
      <alignment horizontal="right"/>
    </xf>
    <xf numFmtId="0" fontId="2" fillId="3" borderId="11" xfId="0" applyFont="1" applyFill="1" applyBorder="1" applyAlignment="1">
      <alignment horizontal="right" vertical="center"/>
    </xf>
    <xf numFmtId="0" fontId="0" fillId="0" borderId="5" xfId="0" applyBorder="1" applyAlignment="1">
      <alignment horizontal="right" vertical="center"/>
    </xf>
    <xf numFmtId="0" fontId="0" fillId="0" borderId="8" xfId="0" applyBorder="1" applyAlignment="1">
      <alignment horizontal="right"/>
    </xf>
    <xf numFmtId="9" fontId="0" fillId="0" borderId="0" xfId="0" applyNumberFormat="1" applyAlignment="1">
      <alignment horizontal="center" vertical="center"/>
    </xf>
    <xf numFmtId="0" fontId="0" fillId="0" borderId="7" xfId="0" applyBorder="1" applyAlignment="1">
      <alignment horizontal="center"/>
    </xf>
    <xf numFmtId="9" fontId="0" fillId="0" borderId="7" xfId="2" applyFont="1" applyBorder="1" applyAlignment="1">
      <alignment horizontal="center" vertical="center"/>
    </xf>
    <xf numFmtId="9" fontId="0" fillId="0" borderId="0" xfId="2" applyFont="1" applyBorder="1" applyAlignment="1">
      <alignment horizontal="center" vertical="center"/>
    </xf>
    <xf numFmtId="0" fontId="0" fillId="0" borderId="1" xfId="0" applyBorder="1"/>
    <xf numFmtId="0" fontId="0" fillId="0" borderId="2" xfId="0" applyBorder="1"/>
    <xf numFmtId="9" fontId="0" fillId="0" borderId="2" xfId="0" applyNumberFormat="1" applyBorder="1" applyAlignment="1">
      <alignment horizontal="right" vertical="center"/>
    </xf>
    <xf numFmtId="9" fontId="0" fillId="0" borderId="2" xfId="2" applyFont="1" applyBorder="1" applyAlignment="1">
      <alignment horizontal="center" vertical="center"/>
    </xf>
    <xf numFmtId="0" fontId="0" fillId="0" borderId="3" xfId="0" applyBorder="1" applyAlignment="1">
      <alignment horizontal="center" vertical="center"/>
    </xf>
    <xf numFmtId="9" fontId="3" fillId="0" borderId="7" xfId="2" applyFont="1" applyBorder="1" applyAlignment="1">
      <alignment horizontal="right"/>
    </xf>
    <xf numFmtId="43" fontId="0" fillId="0" borderId="0" xfId="1" applyFont="1" applyBorder="1" applyAlignment="1">
      <alignment horizontal="center" vertical="center"/>
    </xf>
    <xf numFmtId="1" fontId="0" fillId="0" borderId="0" xfId="1" applyNumberFormat="1" applyFont="1" applyBorder="1" applyAlignment="1">
      <alignment horizontal="center" vertical="center"/>
    </xf>
    <xf numFmtId="168" fontId="0" fillId="0" borderId="0" xfId="0" applyNumberFormat="1" applyAlignment="1">
      <alignment horizontal="center"/>
    </xf>
    <xf numFmtId="9" fontId="0" fillId="8" borderId="0" xfId="0" applyNumberFormat="1" applyFill="1" applyAlignment="1">
      <alignment horizontal="center" vertical="center"/>
    </xf>
    <xf numFmtId="9" fontId="0" fillId="8" borderId="0" xfId="0" applyNumberFormat="1" applyFill="1" applyAlignment="1">
      <alignment horizontal="center"/>
    </xf>
    <xf numFmtId="0" fontId="0" fillId="8" borderId="0" xfId="0" applyFill="1" applyAlignment="1">
      <alignment horizontal="right" vertical="center"/>
    </xf>
    <xf numFmtId="9" fontId="0" fillId="8" borderId="0" xfId="2" applyFont="1" applyFill="1" applyBorder="1" applyAlignment="1">
      <alignment horizontal="center" vertical="center"/>
    </xf>
    <xf numFmtId="3" fontId="0" fillId="0" borderId="0" xfId="1" applyNumberFormat="1" applyFont="1" applyBorder="1" applyAlignment="1">
      <alignment horizontal="right" vertical="center"/>
    </xf>
    <xf numFmtId="3" fontId="0" fillId="0" borderId="0" xfId="0" applyNumberFormat="1" applyAlignment="1">
      <alignment horizontal="right" vertical="center"/>
    </xf>
    <xf numFmtId="169" fontId="0" fillId="0" borderId="0" xfId="0" applyNumberFormat="1" applyAlignment="1">
      <alignment horizontal="right" vertical="center"/>
    </xf>
    <xf numFmtId="3" fontId="0" fillId="0" borderId="0" xfId="1" applyNumberFormat="1" applyFont="1" applyBorder="1" applyAlignment="1">
      <alignment horizontal="center" vertical="center"/>
    </xf>
    <xf numFmtId="3" fontId="0" fillId="0" borderId="0" xfId="0" applyNumberFormat="1" applyAlignment="1">
      <alignment horizontal="center" vertical="center"/>
    </xf>
    <xf numFmtId="169" fontId="0" fillId="0" borderId="0" xfId="0" applyNumberFormat="1" applyAlignment="1">
      <alignment horizontal="center" vertical="center"/>
    </xf>
    <xf numFmtId="0" fontId="0" fillId="0" borderId="0" xfId="0" applyAlignment="1">
      <alignment horizontal="left" vertical="center"/>
    </xf>
    <xf numFmtId="168" fontId="0" fillId="0" borderId="0" xfId="0" applyNumberFormat="1" applyAlignment="1">
      <alignment horizontal="left" vertical="center"/>
    </xf>
    <xf numFmtId="9" fontId="0" fillId="0" borderId="0" xfId="0" applyNumberFormat="1" applyAlignment="1">
      <alignment horizontal="left" vertical="center"/>
    </xf>
    <xf numFmtId="168" fontId="0" fillId="0" borderId="0" xfId="0" applyNumberFormat="1" applyAlignment="1">
      <alignment horizontal="right" vertical="center"/>
    </xf>
    <xf numFmtId="9" fontId="0" fillId="9" borderId="0" xfId="2" applyFont="1" applyFill="1" applyBorder="1" applyAlignment="1">
      <alignment horizontal="right" vertical="center"/>
    </xf>
    <xf numFmtId="168" fontId="0" fillId="0" borderId="0" xfId="2" applyNumberFormat="1" applyFont="1" applyFill="1" applyBorder="1" applyAlignment="1">
      <alignment horizontal="right" vertical="center"/>
    </xf>
    <xf numFmtId="0" fontId="5" fillId="0" borderId="0" xfId="0" applyFont="1"/>
    <xf numFmtId="0" fontId="0" fillId="0" borderId="0" xfId="0" applyAlignment="1">
      <alignment horizontal="left" vertical="center" wrapText="1"/>
    </xf>
    <xf numFmtId="0" fontId="1" fillId="4" borderId="12" xfId="0" applyFont="1" applyFill="1" applyBorder="1" applyAlignment="1">
      <alignment horizontal="left" vertical="center"/>
    </xf>
    <xf numFmtId="0" fontId="1" fillId="4" borderId="12" xfId="0" applyFont="1" applyFill="1" applyBorder="1" applyAlignment="1">
      <alignment horizontal="center" vertical="center"/>
    </xf>
    <xf numFmtId="0" fontId="2" fillId="3" borderId="12" xfId="0" applyFont="1" applyFill="1" applyBorder="1" applyAlignment="1">
      <alignment horizontal="left" vertical="center" wrapText="1"/>
    </xf>
    <xf numFmtId="0" fontId="2" fillId="3" borderId="12" xfId="0" applyFont="1" applyFill="1" applyBorder="1" applyAlignment="1">
      <alignment horizontal="center" vertical="center" wrapText="1"/>
    </xf>
    <xf numFmtId="0" fontId="0" fillId="0" borderId="12" xfId="0" applyBorder="1" applyAlignment="1">
      <alignment horizontal="left" vertical="center" wrapText="1" indent="1"/>
    </xf>
    <xf numFmtId="0" fontId="0" fillId="0" borderId="12" xfId="0" applyBorder="1" applyAlignment="1">
      <alignment horizontal="center" vertical="center" wrapText="1"/>
    </xf>
    <xf numFmtId="0" fontId="7" fillId="0" borderId="12" xfId="0" applyFont="1" applyBorder="1" applyAlignment="1">
      <alignment horizontal="center" vertical="center" wrapText="1"/>
    </xf>
    <xf numFmtId="0" fontId="0" fillId="0" borderId="12" xfId="0" applyBorder="1" applyAlignment="1">
      <alignment horizontal="left" vertical="center" wrapText="1" indent="3"/>
    </xf>
    <xf numFmtId="170" fontId="0" fillId="0" borderId="0" xfId="0" applyNumberFormat="1" applyAlignment="1">
      <alignment horizontal="left" vertical="center" wrapText="1"/>
    </xf>
    <xf numFmtId="2" fontId="0" fillId="0" borderId="0" xfId="0" applyNumberFormat="1" applyAlignment="1">
      <alignment horizontal="left" vertical="center" wrapText="1"/>
    </xf>
    <xf numFmtId="2" fontId="7" fillId="0" borderId="12" xfId="0" applyNumberFormat="1" applyFont="1" applyBorder="1" applyAlignment="1">
      <alignment horizontal="center" vertical="center" wrapText="1"/>
    </xf>
    <xf numFmtId="2" fontId="0" fillId="0" borderId="12" xfId="0" applyNumberFormat="1" applyBorder="1" applyAlignment="1">
      <alignment horizontal="center" vertical="center" wrapText="1"/>
    </xf>
    <xf numFmtId="0" fontId="8" fillId="0" borderId="0" xfId="0" applyFont="1" applyAlignment="1">
      <alignment horizontal="left" vertical="center"/>
    </xf>
    <xf numFmtId="0" fontId="0" fillId="0" borderId="0" xfId="0" applyAlignment="1">
      <alignment horizontal="left" vertical="center" wrapText="1" indent="1"/>
    </xf>
    <xf numFmtId="0" fontId="0" fillId="8" borderId="12" xfId="0" applyFill="1" applyBorder="1" applyAlignment="1">
      <alignment horizontal="center" vertical="center" wrapText="1"/>
    </xf>
    <xf numFmtId="2" fontId="7" fillId="8" borderId="12" xfId="0" applyNumberFormat="1" applyFont="1" applyFill="1" applyBorder="1" applyAlignment="1">
      <alignment horizontal="center" vertical="center" wrapText="1"/>
    </xf>
    <xf numFmtId="0" fontId="2" fillId="0" borderId="0" xfId="0" applyFont="1" applyAlignment="1">
      <alignment horizontal="left" vertical="center"/>
    </xf>
    <xf numFmtId="0" fontId="6" fillId="0" borderId="0" xfId="0" applyFont="1" applyAlignment="1">
      <alignment horizontal="left" vertical="center" wrapText="1"/>
    </xf>
    <xf numFmtId="0" fontId="9" fillId="0" borderId="0" xfId="0" applyFont="1" applyAlignment="1">
      <alignment vertical="center" wrapText="1"/>
    </xf>
    <xf numFmtId="0" fontId="2" fillId="0" borderId="12" xfId="0" applyFont="1" applyBorder="1" applyAlignment="1">
      <alignment horizontal="left" vertical="center" wrapText="1"/>
    </xf>
    <xf numFmtId="0" fontId="2" fillId="0" borderId="12" xfId="0" applyFont="1" applyBorder="1" applyAlignment="1">
      <alignment horizontal="center" vertical="center" wrapText="1"/>
    </xf>
    <xf numFmtId="0" fontId="0" fillId="0" borderId="12" xfId="0" applyBorder="1" applyAlignment="1">
      <alignment horizontal="left" vertical="center" wrapText="1"/>
    </xf>
    <xf numFmtId="0" fontId="0" fillId="0" borderId="0" xfId="0" applyAlignment="1">
      <alignment horizontal="center" vertical="center" wrapText="1"/>
    </xf>
    <xf numFmtId="0" fontId="0" fillId="2" borderId="0" xfId="0" applyFill="1"/>
    <xf numFmtId="9" fontId="0" fillId="0" borderId="12" xfId="2" applyFont="1" applyBorder="1" applyAlignment="1">
      <alignment horizontal="center" vertical="center" wrapText="1"/>
    </xf>
    <xf numFmtId="0" fontId="0" fillId="0" borderId="0" xfId="0" applyAlignment="1">
      <alignment vertical="center"/>
    </xf>
    <xf numFmtId="0" fontId="0" fillId="0" borderId="12" xfId="0" applyBorder="1"/>
    <xf numFmtId="3" fontId="0" fillId="0" borderId="12" xfId="0" applyNumberFormat="1" applyBorder="1" applyAlignment="1">
      <alignment horizontal="center" vertical="center"/>
    </xf>
    <xf numFmtId="10" fontId="0" fillId="0" borderId="12" xfId="2" applyNumberFormat="1" applyFont="1" applyBorder="1" applyAlignment="1">
      <alignment horizontal="center" vertical="center"/>
    </xf>
    <xf numFmtId="0" fontId="2" fillId="0" borderId="12" xfId="0" applyFont="1" applyBorder="1"/>
    <xf numFmtId="3" fontId="2" fillId="0" borderId="12" xfId="0" applyNumberFormat="1" applyFont="1" applyBorder="1" applyAlignment="1">
      <alignment horizontal="center" vertical="center"/>
    </xf>
    <xf numFmtId="10" fontId="2" fillId="0" borderId="12" xfId="2" applyNumberFormat="1" applyFont="1" applyBorder="1" applyAlignment="1">
      <alignment horizontal="center" vertical="center"/>
    </xf>
    <xf numFmtId="9" fontId="0" fillId="0" borderId="0" xfId="2" applyFont="1"/>
    <xf numFmtId="170" fontId="2" fillId="0" borderId="12" xfId="3" applyNumberFormat="1" applyFont="1" applyBorder="1" applyAlignment="1">
      <alignment horizontal="center" vertical="center"/>
    </xf>
    <xf numFmtId="170" fontId="0" fillId="0" borderId="12" xfId="3" applyNumberFormat="1" applyFont="1" applyBorder="1" applyAlignment="1">
      <alignment horizontal="center" vertical="center"/>
    </xf>
    <xf numFmtId="4" fontId="0" fillId="0" borderId="0" xfId="0" applyNumberFormat="1" applyAlignment="1">
      <alignment horizontal="right" vertical="center"/>
    </xf>
    <xf numFmtId="9" fontId="3" fillId="0" borderId="0" xfId="2" applyFont="1" applyBorder="1" applyAlignment="1">
      <alignment horizontal="right" vertical="center"/>
    </xf>
    <xf numFmtId="3" fontId="0" fillId="0" borderId="0" xfId="0" applyNumberFormat="1" applyAlignment="1">
      <alignment horizontal="left" vertical="center"/>
    </xf>
    <xf numFmtId="3" fontId="0" fillId="0" borderId="0" xfId="1" applyNumberFormat="1" applyFont="1" applyBorder="1" applyAlignment="1">
      <alignment horizontal="left" vertical="center"/>
    </xf>
    <xf numFmtId="0" fontId="1" fillId="4" borderId="0" xfId="0" applyFont="1" applyFill="1" applyAlignment="1">
      <alignment vertical="center"/>
    </xf>
    <xf numFmtId="0" fontId="1" fillId="4" borderId="0" xfId="0" applyFont="1" applyFill="1" applyAlignment="1">
      <alignment horizontal="left" vertical="center"/>
    </xf>
    <xf numFmtId="0" fontId="1" fillId="4" borderId="0" xfId="0" applyFont="1" applyFill="1" applyAlignment="1">
      <alignment horizontal="right" vertical="center"/>
    </xf>
    <xf numFmtId="0" fontId="1" fillId="2" borderId="0" xfId="0" applyFont="1" applyFill="1" applyAlignment="1">
      <alignment vertical="center"/>
    </xf>
    <xf numFmtId="0" fontId="1" fillId="2" borderId="0" xfId="0" applyFont="1" applyFill="1" applyAlignment="1">
      <alignment horizontal="left" vertical="center"/>
    </xf>
    <xf numFmtId="0" fontId="1" fillId="2" borderId="0" xfId="0" applyFont="1" applyFill="1" applyAlignment="1">
      <alignment horizontal="right" vertical="center"/>
    </xf>
    <xf numFmtId="0" fontId="2" fillId="3" borderId="0" xfId="0" applyFont="1" applyFill="1" applyAlignment="1">
      <alignment vertical="center"/>
    </xf>
    <xf numFmtId="0" fontId="2" fillId="3" borderId="0" xfId="0" applyFont="1" applyFill="1" applyAlignment="1">
      <alignment horizontal="left" vertical="center"/>
    </xf>
    <xf numFmtId="0" fontId="2" fillId="3" borderId="0" xfId="0" applyFont="1" applyFill="1" applyAlignment="1">
      <alignment horizontal="right" vertical="center"/>
    </xf>
    <xf numFmtId="1" fontId="0" fillId="0" borderId="0" xfId="0" applyNumberFormat="1" applyAlignment="1">
      <alignment horizontal="right" vertical="center"/>
    </xf>
    <xf numFmtId="0" fontId="1" fillId="5" borderId="0" xfId="0" applyFont="1" applyFill="1" applyAlignment="1">
      <alignment vertical="center"/>
    </xf>
    <xf numFmtId="0" fontId="1" fillId="5" borderId="0" xfId="0" applyFont="1" applyFill="1" applyAlignment="1">
      <alignment horizontal="left" vertical="center"/>
    </xf>
    <xf numFmtId="0" fontId="1" fillId="5" borderId="0" xfId="0" applyFont="1" applyFill="1" applyAlignment="1">
      <alignment horizontal="right" vertical="center"/>
    </xf>
    <xf numFmtId="0" fontId="2" fillId="3" borderId="0" xfId="0" applyFont="1" applyFill="1" applyAlignment="1">
      <alignment horizontal="left" vertical="center" wrapText="1"/>
    </xf>
    <xf numFmtId="0" fontId="0" fillId="0" borderId="0" xfId="0" applyAlignment="1">
      <alignment vertical="center" wrapText="1"/>
    </xf>
    <xf numFmtId="0" fontId="1" fillId="7" borderId="0" xfId="0" applyFont="1" applyFill="1" applyAlignment="1">
      <alignment vertical="center"/>
    </xf>
    <xf numFmtId="0" fontId="1" fillId="7" borderId="0" xfId="0" applyFont="1" applyFill="1" applyAlignment="1">
      <alignment horizontal="left" vertical="center"/>
    </xf>
    <xf numFmtId="0" fontId="1" fillId="7" borderId="0" xfId="0" applyFont="1" applyFill="1" applyAlignment="1">
      <alignment horizontal="right" vertical="center"/>
    </xf>
    <xf numFmtId="3" fontId="7" fillId="0" borderId="0" xfId="1" applyNumberFormat="1" applyFont="1" applyBorder="1" applyAlignment="1">
      <alignment horizontal="right" vertical="center"/>
    </xf>
    <xf numFmtId="0" fontId="0" fillId="0" borderId="0" xfId="0" applyAlignment="1">
      <alignment horizontal="left" vertical="center" indent="1"/>
    </xf>
    <xf numFmtId="0" fontId="7" fillId="0" borderId="0" xfId="0" applyFont="1" applyAlignment="1">
      <alignment vertical="center"/>
    </xf>
    <xf numFmtId="0" fontId="7" fillId="0" borderId="0" xfId="0" applyFont="1" applyAlignment="1">
      <alignment horizontal="left" vertical="center"/>
    </xf>
    <xf numFmtId="9" fontId="7" fillId="0" borderId="0" xfId="2" applyFont="1" applyBorder="1" applyAlignment="1">
      <alignment horizontal="right" vertical="center"/>
    </xf>
    <xf numFmtId="0" fontId="7" fillId="0" borderId="0" xfId="0" applyFont="1" applyAlignment="1">
      <alignment vertical="center" wrapText="1"/>
    </xf>
    <xf numFmtId="0" fontId="0" fillId="0" borderId="1" xfId="0" applyBorder="1" applyAlignment="1">
      <alignment vertical="center"/>
    </xf>
    <xf numFmtId="0" fontId="0" fillId="0" borderId="2" xfId="0" applyBorder="1" applyAlignment="1">
      <alignment vertical="center"/>
    </xf>
    <xf numFmtId="0" fontId="0" fillId="0" borderId="2" xfId="0" applyBorder="1" applyAlignment="1">
      <alignment horizontal="left" vertical="center"/>
    </xf>
    <xf numFmtId="0" fontId="0" fillId="0" borderId="2" xfId="0" applyBorder="1" applyAlignment="1">
      <alignment horizontal="right"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7" xfId="0" applyBorder="1" applyAlignment="1">
      <alignment horizontal="left" vertical="center"/>
    </xf>
    <xf numFmtId="0" fontId="0" fillId="0" borderId="7" xfId="0" applyBorder="1" applyAlignment="1">
      <alignment horizontal="right" vertical="center"/>
    </xf>
    <xf numFmtId="0" fontId="0" fillId="0" borderId="8" xfId="0" applyBorder="1" applyAlignment="1">
      <alignment vertical="center"/>
    </xf>
    <xf numFmtId="0" fontId="0" fillId="10" borderId="0" xfId="0" applyFill="1" applyAlignment="1">
      <alignment vertical="center"/>
    </xf>
    <xf numFmtId="0" fontId="0" fillId="10" borderId="0" xfId="0" applyFill="1" applyAlignment="1">
      <alignment horizontal="left" vertical="center"/>
    </xf>
    <xf numFmtId="0" fontId="0" fillId="10" borderId="0" xfId="0" applyFill="1" applyAlignment="1">
      <alignment horizontal="right" vertical="center"/>
    </xf>
    <xf numFmtId="0" fontId="1" fillId="4" borderId="0" xfId="0" applyFont="1" applyFill="1" applyAlignment="1">
      <alignment horizontal="center" vertical="center"/>
    </xf>
    <xf numFmtId="0" fontId="0" fillId="0" borderId="12" xfId="0" applyBorder="1" applyAlignment="1">
      <alignment horizontal="center" vertical="center"/>
    </xf>
    <xf numFmtId="9" fontId="0" fillId="0" borderId="12" xfId="0" applyNumberFormat="1" applyBorder="1" applyAlignment="1">
      <alignment horizontal="center" vertical="center"/>
    </xf>
    <xf numFmtId="0" fontId="0" fillId="0" borderId="2" xfId="0" applyBorder="1" applyAlignment="1">
      <alignment horizontal="center" vertical="center"/>
    </xf>
    <xf numFmtId="0" fontId="0" fillId="0" borderId="3" xfId="0" applyBorder="1"/>
    <xf numFmtId="0" fontId="0" fillId="0" borderId="5" xfId="0" applyBorder="1"/>
    <xf numFmtId="0" fontId="0" fillId="0" borderId="8" xfId="0" applyBorder="1"/>
    <xf numFmtId="0" fontId="0" fillId="10" borderId="0" xfId="0" applyFill="1"/>
    <xf numFmtId="0" fontId="0" fillId="10" borderId="0" xfId="0" applyFill="1" applyAlignment="1">
      <alignment horizontal="center" vertical="center"/>
    </xf>
    <xf numFmtId="0" fontId="5" fillId="0" borderId="0" xfId="0" applyFont="1" applyAlignment="1">
      <alignment vertical="center"/>
    </xf>
    <xf numFmtId="9" fontId="0" fillId="0" borderId="12" xfId="2" applyFont="1" applyBorder="1" applyAlignment="1">
      <alignment horizontal="center" vertical="center"/>
    </xf>
    <xf numFmtId="168" fontId="0" fillId="0" borderId="12" xfId="2" applyNumberFormat="1" applyFont="1" applyBorder="1" applyAlignment="1">
      <alignment horizontal="center" vertical="center"/>
    </xf>
    <xf numFmtId="167" fontId="0" fillId="0" borderId="12" xfId="0" applyNumberFormat="1" applyBorder="1" applyAlignment="1">
      <alignment horizontal="center" vertical="center"/>
    </xf>
    <xf numFmtId="0" fontId="10" fillId="0" borderId="7" xfId="0" applyFont="1" applyBorder="1"/>
    <xf numFmtId="0" fontId="0" fillId="0" borderId="16" xfId="0" applyBorder="1" applyAlignment="1">
      <alignment horizontal="center" vertical="center"/>
    </xf>
    <xf numFmtId="9" fontId="0" fillId="0" borderId="17" xfId="0" applyNumberFormat="1" applyBorder="1" applyAlignment="1">
      <alignment horizontal="center" vertical="center"/>
    </xf>
    <xf numFmtId="0" fontId="0" fillId="0" borderId="17" xfId="0" applyBorder="1" applyAlignment="1">
      <alignment horizontal="center" vertical="center"/>
    </xf>
    <xf numFmtId="3" fontId="0" fillId="0" borderId="17" xfId="0" applyNumberFormat="1" applyBorder="1" applyAlignment="1">
      <alignment horizontal="center" vertical="center"/>
    </xf>
    <xf numFmtId="167" fontId="0" fillId="0" borderId="17" xfId="0" applyNumberFormat="1" applyBorder="1" applyAlignment="1">
      <alignment horizontal="center" vertical="center"/>
    </xf>
    <xf numFmtId="9" fontId="3" fillId="0" borderId="12" xfId="0" applyNumberFormat="1" applyFont="1" applyBorder="1" applyAlignment="1">
      <alignment horizontal="center" vertical="center"/>
    </xf>
    <xf numFmtId="0" fontId="3" fillId="0" borderId="12" xfId="0" applyFont="1" applyBorder="1" applyAlignment="1">
      <alignment horizontal="center" vertical="center"/>
    </xf>
    <xf numFmtId="3" fontId="3" fillId="0" borderId="12" xfId="0" applyNumberFormat="1" applyFont="1" applyBorder="1" applyAlignment="1">
      <alignment horizontal="center" vertical="center"/>
    </xf>
    <xf numFmtId="9" fontId="0" fillId="0" borderId="12" xfId="2" applyFont="1" applyFill="1" applyBorder="1" applyAlignment="1">
      <alignment horizontal="center" vertical="center"/>
    </xf>
    <xf numFmtId="3" fontId="0" fillId="0" borderId="12" xfId="1" applyNumberFormat="1" applyFont="1" applyFill="1" applyBorder="1" applyAlignment="1">
      <alignment horizontal="center" vertical="center"/>
    </xf>
    <xf numFmtId="168" fontId="0" fillId="0" borderId="12" xfId="0" applyNumberFormat="1" applyBorder="1" applyAlignment="1">
      <alignment horizontal="center" vertical="center"/>
    </xf>
    <xf numFmtId="0" fontId="1" fillId="4" borderId="12" xfId="0" applyFont="1" applyFill="1" applyBorder="1" applyAlignment="1">
      <alignment horizontal="center" vertical="center"/>
    </xf>
    <xf numFmtId="0" fontId="1" fillId="4" borderId="18" xfId="0" applyFont="1" applyFill="1" applyBorder="1" applyAlignment="1">
      <alignment horizontal="center" vertical="center"/>
    </xf>
    <xf numFmtId="0" fontId="1" fillId="4" borderId="0" xfId="0" applyFont="1" applyFill="1" applyAlignment="1">
      <alignment horizontal="center" vertical="center"/>
    </xf>
    <xf numFmtId="0" fontId="0" fillId="0" borderId="0" xfId="0" applyAlignment="1">
      <alignment horizontal="left" vertical="center" wrapText="1" indent="2"/>
    </xf>
    <xf numFmtId="0" fontId="0" fillId="0" borderId="0" xfId="0" applyAlignment="1">
      <alignment horizontal="left" vertical="center" wrapText="1"/>
    </xf>
    <xf numFmtId="0" fontId="1" fillId="4" borderId="13" xfId="0" applyFont="1" applyFill="1" applyBorder="1" applyAlignment="1">
      <alignment horizontal="center" vertical="center"/>
    </xf>
    <xf numFmtId="0" fontId="1" fillId="4" borderId="14" xfId="0" applyFont="1" applyFill="1" applyBorder="1" applyAlignment="1">
      <alignment horizontal="center" vertical="center"/>
    </xf>
    <xf numFmtId="0" fontId="1" fillId="4" borderId="15" xfId="0" applyFont="1" applyFill="1" applyBorder="1" applyAlignment="1">
      <alignment horizontal="center" vertical="center"/>
    </xf>
    <xf numFmtId="0" fontId="0" fillId="0" borderId="0" xfId="0" applyAlignment="1">
      <alignment vertical="center" wrapText="1"/>
    </xf>
    <xf numFmtId="167" fontId="0" fillId="0" borderId="12" xfId="0" applyNumberFormat="1" applyFont="1" applyBorder="1" applyAlignment="1">
      <alignment horizontal="center" vertical="center"/>
    </xf>
    <xf numFmtId="9" fontId="3" fillId="0" borderId="12" xfId="2" applyFont="1" applyFill="1" applyBorder="1" applyAlignment="1">
      <alignment horizontal="center" vertical="center"/>
    </xf>
    <xf numFmtId="9" fontId="0" fillId="0" borderId="0" xfId="2" applyFont="1" applyFill="1" applyBorder="1" applyAlignment="1">
      <alignment horizontal="right" vertical="center"/>
    </xf>
    <xf numFmtId="0" fontId="0" fillId="0" borderId="0" xfId="0" applyFill="1" applyAlignment="1">
      <alignment horizontal="right" vertical="center"/>
    </xf>
    <xf numFmtId="9" fontId="7" fillId="0" borderId="0" xfId="2" applyFont="1" applyFill="1" applyBorder="1" applyAlignment="1">
      <alignment horizontal="right" vertical="center"/>
    </xf>
    <xf numFmtId="0" fontId="7" fillId="0" borderId="0" xfId="0" applyFont="1" applyFill="1" applyAlignment="1">
      <alignment horizontal="right" vertical="center"/>
    </xf>
    <xf numFmtId="9" fontId="3" fillId="0" borderId="0" xfId="2" applyFont="1" applyFill="1" applyBorder="1" applyAlignment="1">
      <alignment horizontal="right" vertical="center"/>
    </xf>
    <xf numFmtId="167" fontId="0" fillId="8" borderId="12" xfId="0" applyNumberFormat="1" applyFont="1" applyFill="1" applyBorder="1" applyAlignment="1">
      <alignment horizontal="center" vertical="center"/>
    </xf>
  </cellXfs>
  <cellStyles count="4">
    <cellStyle name="Millares" xfId="1" builtinId="3"/>
    <cellStyle name="Millares 2" xfId="3" xr:uid="{B2C2A1DC-53F6-4408-A550-814767ED0B8F}"/>
    <cellStyle name="Normal" xfId="0" builtinId="0"/>
    <cellStyle name="Porcentaje" xfId="2" builtinId="5"/>
  </cellStyles>
  <dxfs count="0"/>
  <tableStyles count="0" defaultTableStyle="TableStyleMedium2" defaultPivotStyle="PivotStyleLight16"/>
  <colors>
    <mruColors>
      <color rgb="FFFF5D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2023</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ES"/>
        </a:p>
      </c:txPr>
    </c:title>
    <c:autoTitleDeleted val="0"/>
    <c:plotArea>
      <c:layout/>
      <c:pieChart>
        <c:varyColors val="1"/>
        <c:ser>
          <c:idx val="0"/>
          <c:order val="0"/>
          <c:tx>
            <c:strRef>
              <c:f>Governance_Graf!$C$21:$C$27</c:f>
              <c:strCache>
                <c:ptCount val="7"/>
                <c:pt idx="0">
                  <c:v>Corruption and Bribery</c:v>
                </c:pt>
                <c:pt idx="1">
                  <c:v>Money laundering</c:v>
                </c:pt>
                <c:pt idx="2">
                  <c:v>Data protection</c:v>
                </c:pt>
                <c:pt idx="3">
                  <c:v>Conflicts of interest</c:v>
                </c:pt>
                <c:pt idx="4">
                  <c:v>Human Rights</c:v>
                </c:pt>
                <c:pt idx="5">
                  <c:v>Discrimination and harassment</c:v>
                </c:pt>
                <c:pt idx="6">
                  <c:v>Other</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7F63-4006-8712-C5E2EF4CAF9B}"/>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7F63-4006-8712-C5E2EF4CAF9B}"/>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7F63-4006-8712-C5E2EF4CAF9B}"/>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7F63-4006-8712-C5E2EF4CAF9B}"/>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7F63-4006-8712-C5E2EF4CAF9B}"/>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7F63-4006-8712-C5E2EF4CAF9B}"/>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D-7F63-4006-8712-C5E2EF4CAF9B}"/>
              </c:ext>
            </c:extLst>
          </c:dPt>
          <c:dLbls>
            <c:dLbl>
              <c:idx val="0"/>
              <c:layout>
                <c:manualLayout>
                  <c:x val="0.34964616561890499"/>
                  <c:y val="-1.2312742597316189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F63-4006-8712-C5E2EF4CAF9B}"/>
                </c:ext>
              </c:extLst>
            </c:dLbl>
            <c:dLbl>
              <c:idx val="1"/>
              <c:layout>
                <c:manualLayout>
                  <c:x val="0.35179923587734047"/>
                  <c:y val="0.11922073121141548"/>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F63-4006-8712-C5E2EF4CAF9B}"/>
                </c:ext>
              </c:extLst>
            </c:dLbl>
            <c:dLbl>
              <c:idx val="2"/>
              <c:layout>
                <c:manualLayout>
                  <c:x val="0.3543183280797102"/>
                  <c:y val="0.25224117407859231"/>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F63-4006-8712-C5E2EF4CAF9B}"/>
                </c:ext>
              </c:extLst>
            </c:dLbl>
            <c:dLbl>
              <c:idx val="3"/>
              <c:layout>
                <c:manualLayout>
                  <c:x val="0.27175479966767657"/>
                  <c:y val="0.37567528002661638"/>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F63-4006-8712-C5E2EF4CAF9B}"/>
                </c:ext>
              </c:extLst>
            </c:dLbl>
            <c:dLbl>
              <c:idx val="4"/>
              <c:layout>
                <c:manualLayout>
                  <c:x val="0.19710429827884748"/>
                  <c:y val="0.48255103323352189"/>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7F63-4006-8712-C5E2EF4CAF9B}"/>
                </c:ext>
              </c:extLst>
            </c:dLbl>
            <c:dLbl>
              <c:idx val="5"/>
              <c:layout>
                <c:manualLayout>
                  <c:x val="5.5752470401209828E-2"/>
                  <c:y val="0.37885475583157724"/>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7F63-4006-8712-C5E2EF4CAF9B}"/>
                </c:ext>
              </c:extLst>
            </c:dLbl>
            <c:dLbl>
              <c:idx val="6"/>
              <c:layout>
                <c:manualLayout>
                  <c:x val="0.61031699910203141"/>
                  <c:y val="9.4049905733614284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7F63-4006-8712-C5E2EF4CAF9B}"/>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0"/>
            <c:extLst>
              <c:ext xmlns:c15="http://schemas.microsoft.com/office/drawing/2012/chart" uri="{CE6537A1-D6FC-4f65-9D91-7224C49458BB}"/>
            </c:extLst>
          </c:dLbls>
          <c:cat>
            <c:strRef>
              <c:f>Governance_Graf!$C$21:$C$27</c:f>
              <c:strCache>
                <c:ptCount val="7"/>
                <c:pt idx="0">
                  <c:v>Corruption and Bribery</c:v>
                </c:pt>
                <c:pt idx="1">
                  <c:v>Money laundering</c:v>
                </c:pt>
                <c:pt idx="2">
                  <c:v>Data protection</c:v>
                </c:pt>
                <c:pt idx="3">
                  <c:v>Conflicts of interest</c:v>
                </c:pt>
                <c:pt idx="4">
                  <c:v>Human Rights</c:v>
                </c:pt>
                <c:pt idx="5">
                  <c:v>Discrimination and harassment</c:v>
                </c:pt>
                <c:pt idx="6">
                  <c:v>Other</c:v>
                </c:pt>
              </c:strCache>
            </c:strRef>
          </c:cat>
          <c:val>
            <c:numRef>
              <c:f>Governance_Graf!$F$21:$F$27</c:f>
              <c:numCache>
                <c:formatCode>General</c:formatCode>
                <c:ptCount val="7"/>
                <c:pt idx="0">
                  <c:v>0</c:v>
                </c:pt>
                <c:pt idx="1">
                  <c:v>0</c:v>
                </c:pt>
                <c:pt idx="2">
                  <c:v>0</c:v>
                </c:pt>
                <c:pt idx="3">
                  <c:v>1</c:v>
                </c:pt>
                <c:pt idx="4">
                  <c:v>0</c:v>
                </c:pt>
                <c:pt idx="5">
                  <c:v>3</c:v>
                </c:pt>
                <c:pt idx="6">
                  <c:v>9</c:v>
                </c:pt>
              </c:numCache>
            </c:numRef>
          </c:val>
          <c:extLst>
            <c:ext xmlns:c16="http://schemas.microsoft.com/office/drawing/2014/chart" uri="{C3380CC4-5D6E-409C-BE32-E72D297353CC}">
              <c16:uniqueId val="{0000000E-7F63-4006-8712-C5E2EF4CAF9B}"/>
            </c:ext>
          </c:extLst>
        </c:ser>
        <c:dLbls>
          <c:dLblPos val="ctr"/>
          <c:showLegendKey val="0"/>
          <c:showVal val="0"/>
          <c:showCatName val="0"/>
          <c:showSerName val="0"/>
          <c:showPercent val="1"/>
          <c:showBubbleSize val="0"/>
          <c:showLeaderLines val="0"/>
        </c:dLbls>
        <c:firstSliceAng val="0"/>
      </c:pieChart>
      <c:spPr>
        <a:noFill/>
        <a:ln>
          <a:noFill/>
        </a:ln>
        <a:effectLst/>
      </c:spPr>
    </c:plotArea>
    <c:legend>
      <c:legendPos val="r"/>
      <c:layout>
        <c:manualLayout>
          <c:xMode val="edge"/>
          <c:yMode val="edge"/>
          <c:x val="0.70807808398950134"/>
          <c:y val="3.5630771505674473E-2"/>
          <c:w val="0.29192195693148376"/>
          <c:h val="0.96436922849432549"/>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2022</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ES"/>
        </a:p>
      </c:txPr>
    </c:title>
    <c:autoTitleDeleted val="0"/>
    <c:plotArea>
      <c:layout/>
      <c:pieChart>
        <c:varyColors val="1"/>
        <c:ser>
          <c:idx val="0"/>
          <c:order val="0"/>
          <c:tx>
            <c:strRef>
              <c:f>Governance_Graf!$F$19</c:f>
              <c:strCache>
                <c:ptCount val="1"/>
                <c:pt idx="0">
                  <c:v>2023</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2E6C-443B-BBFE-6A1E41B347C2}"/>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2E6C-443B-BBFE-6A1E41B347C2}"/>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2E6C-443B-BBFE-6A1E41B347C2}"/>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2E6C-443B-BBFE-6A1E41B347C2}"/>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2E6C-443B-BBFE-6A1E41B347C2}"/>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2E6C-443B-BBFE-6A1E41B347C2}"/>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D-2E6C-443B-BBFE-6A1E41B347C2}"/>
              </c:ext>
            </c:extLst>
          </c:dPt>
          <c:dLbls>
            <c:dLbl>
              <c:idx val="0"/>
              <c:layout>
                <c:manualLayout>
                  <c:x val="0.34869762952890426"/>
                  <c:y val="-2.9345458578241099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E6C-443B-BBFE-6A1E41B347C2}"/>
                </c:ext>
              </c:extLst>
            </c:dLbl>
            <c:dLbl>
              <c:idx val="1"/>
              <c:layout>
                <c:manualLayout>
                  <c:x val="0.35120625267405398"/>
                  <c:y val="0.10962167757199365"/>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E6C-443B-BBFE-6A1E41B347C2}"/>
                </c:ext>
              </c:extLst>
            </c:dLbl>
            <c:dLbl>
              <c:idx val="2"/>
              <c:layout>
                <c:manualLayout>
                  <c:x val="0.35371487581920374"/>
                  <c:y val="0.24483294517762744"/>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E6C-443B-BBFE-6A1E41B347C2}"/>
                </c:ext>
              </c:extLst>
            </c:dLbl>
            <c:dLbl>
              <c:idx val="3"/>
              <c:layout>
                <c:manualLayout>
                  <c:x val="0.29855499356251747"/>
                  <c:y val="0.38138449595209051"/>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E6C-443B-BBFE-6A1E41B347C2}"/>
                </c:ext>
              </c:extLst>
            </c:dLbl>
            <c:dLbl>
              <c:idx val="4"/>
              <c:layout>
                <c:manualLayout>
                  <c:x val="0.24339175330634547"/>
                  <c:y val="0.50564696314369151"/>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2E6C-443B-BBFE-6A1E41B347C2}"/>
                </c:ext>
              </c:extLst>
            </c:dLbl>
            <c:dLbl>
              <c:idx val="5"/>
              <c:layout>
                <c:manualLayout>
                  <c:x val="0.12317280383870699"/>
                  <c:y val="0.55141710103138519"/>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2E6C-443B-BBFE-6A1E41B347C2}"/>
                </c:ext>
              </c:extLst>
            </c:dLbl>
            <c:dLbl>
              <c:idx val="6"/>
              <c:layout>
                <c:manualLayout>
                  <c:x val="0.53442719837362207"/>
                  <c:y val="-1.9458652175520313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2E6C-443B-BBFE-6A1E41B347C2}"/>
                </c:ext>
              </c:extLst>
            </c:dLbl>
            <c:spPr>
              <a:pattFill prst="pct75">
                <a:fgClr>
                  <a:sysClr val="windowText" lastClr="000000">
                    <a:lumMod val="75000"/>
                    <a:lumOff val="25000"/>
                  </a:sysClr>
                </a:fgClr>
                <a:bgClr>
                  <a:sysClr val="windowText" lastClr="000000">
                    <a:lumMod val="65000"/>
                    <a:lumOff val="35000"/>
                  </a:sys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0"/>
            <c:extLst>
              <c:ext xmlns:c15="http://schemas.microsoft.com/office/drawing/2012/chart" uri="{CE6537A1-D6FC-4f65-9D91-7224C49458BB}"/>
            </c:extLst>
          </c:dLbls>
          <c:cat>
            <c:strRef>
              <c:f>Governance_Graf!$C$21:$C$27</c:f>
              <c:strCache>
                <c:ptCount val="7"/>
                <c:pt idx="0">
                  <c:v>Corruption and Bribery</c:v>
                </c:pt>
                <c:pt idx="1">
                  <c:v>Money laundering</c:v>
                </c:pt>
                <c:pt idx="2">
                  <c:v>Data protection</c:v>
                </c:pt>
                <c:pt idx="3">
                  <c:v>Conflicts of interest</c:v>
                </c:pt>
                <c:pt idx="4">
                  <c:v>Human Rights</c:v>
                </c:pt>
                <c:pt idx="5">
                  <c:v>Discrimination and harassment</c:v>
                </c:pt>
                <c:pt idx="6">
                  <c:v>Other</c:v>
                </c:pt>
              </c:strCache>
            </c:strRef>
          </c:cat>
          <c:val>
            <c:numRef>
              <c:f>Governance_Graf!$G$21:$G$27</c:f>
              <c:numCache>
                <c:formatCode>General</c:formatCode>
                <c:ptCount val="7"/>
                <c:pt idx="0">
                  <c:v>0</c:v>
                </c:pt>
                <c:pt idx="1">
                  <c:v>0</c:v>
                </c:pt>
                <c:pt idx="2">
                  <c:v>0</c:v>
                </c:pt>
                <c:pt idx="3">
                  <c:v>1</c:v>
                </c:pt>
                <c:pt idx="4">
                  <c:v>0</c:v>
                </c:pt>
                <c:pt idx="5">
                  <c:v>3</c:v>
                </c:pt>
                <c:pt idx="6">
                  <c:v>17</c:v>
                </c:pt>
              </c:numCache>
            </c:numRef>
          </c:val>
          <c:extLst>
            <c:ext xmlns:c16="http://schemas.microsoft.com/office/drawing/2014/chart" uri="{C3380CC4-5D6E-409C-BE32-E72D297353CC}">
              <c16:uniqueId val="{0000000E-2E6C-443B-BBFE-6A1E41B347C2}"/>
            </c:ext>
          </c:extLst>
        </c:ser>
        <c:dLbls>
          <c:dLblPos val="ctr"/>
          <c:showLegendKey val="0"/>
          <c:showVal val="0"/>
          <c:showCatName val="0"/>
          <c:showSerName val="0"/>
          <c:showPercent val="1"/>
          <c:showBubbleSize val="0"/>
          <c:showLeaderLines val="0"/>
        </c:dLbls>
        <c:firstSliceAng val="0"/>
      </c:pieChart>
      <c:spPr>
        <a:noFill/>
        <a:ln>
          <a:noFill/>
        </a:ln>
        <a:effectLst/>
      </c:spPr>
    </c:plotArea>
    <c:legend>
      <c:legendPos val="r"/>
      <c:layout>
        <c:manualLayout>
          <c:xMode val="edge"/>
          <c:yMode val="edge"/>
          <c:x val="0.70807808398950134"/>
          <c:y val="3.5630771505674473E-2"/>
          <c:w val="0.29192195693148376"/>
          <c:h val="0.96197493623156272"/>
        </c:manualLayout>
      </c:layout>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tx>
            <c:strRef>
              <c:f>Governance_Graf!$B$3</c:f>
              <c:strCache>
                <c:ptCount val="1"/>
                <c:pt idx="0">
                  <c:v>Integrantes Consejo de Administracion</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4A8D-49A2-A3C4-A8C87B29A608}"/>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4A8D-49A2-A3C4-A8C87B29A608}"/>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Governance_Graf!$B$4:$B$5</c:f>
              <c:strCache>
                <c:ptCount val="2"/>
                <c:pt idx="0">
                  <c:v>%Mujeres</c:v>
                </c:pt>
                <c:pt idx="1">
                  <c:v>%Hombres</c:v>
                </c:pt>
              </c:strCache>
            </c:strRef>
          </c:cat>
          <c:val>
            <c:numRef>
              <c:f>Governance_Graf!$E$4:$E$5</c:f>
              <c:numCache>
                <c:formatCode>0%</c:formatCode>
                <c:ptCount val="2"/>
                <c:pt idx="0">
                  <c:v>0.23076923076923078</c:v>
                </c:pt>
                <c:pt idx="1">
                  <c:v>0.76923076923076927</c:v>
                </c:pt>
              </c:numCache>
            </c:numRef>
          </c:val>
          <c:extLst>
            <c:ext xmlns:c16="http://schemas.microsoft.com/office/drawing/2014/chart" uri="{C3380CC4-5D6E-409C-BE32-E72D297353CC}">
              <c16:uniqueId val="{00000004-4A8D-49A2-A3C4-A8C87B29A608}"/>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tx>
            <c:strRef>
              <c:f>Governance_Graf!$G$3</c:f>
              <c:strCache>
                <c:ptCount val="1"/>
                <c:pt idx="0">
                  <c:v>Integrantes MAC</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8BC3-4D0A-9094-1EBB807C49E7}"/>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8BC3-4D0A-9094-1EBB807C49E7}"/>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Governance_Graf!$G$4:$G$5</c:f>
              <c:strCache>
                <c:ptCount val="2"/>
                <c:pt idx="0">
                  <c:v>%Mujeres</c:v>
                </c:pt>
                <c:pt idx="1">
                  <c:v>%Hombres</c:v>
                </c:pt>
              </c:strCache>
            </c:strRef>
          </c:cat>
          <c:val>
            <c:numRef>
              <c:f>Governance_Graf!$J$4:$J$5</c:f>
              <c:numCache>
                <c:formatCode>0%</c:formatCode>
                <c:ptCount val="2"/>
                <c:pt idx="0">
                  <c:v>0.27272727272727271</c:v>
                </c:pt>
                <c:pt idx="1">
                  <c:v>0.72727272727272729</c:v>
                </c:pt>
              </c:numCache>
            </c:numRef>
          </c:val>
          <c:extLst>
            <c:ext xmlns:c16="http://schemas.microsoft.com/office/drawing/2014/chart" uri="{C3380CC4-5D6E-409C-BE32-E72D297353CC}">
              <c16:uniqueId val="{00000004-8BC3-4D0A-9094-1EBB807C49E7}"/>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tx>
            <c:strRef>
              <c:f>Governance_Graf!$C$54</c:f>
              <c:strCache>
                <c:ptCount val="1"/>
                <c:pt idx="0">
                  <c:v>Total tax paid</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1B98-45ED-9504-8963E618F5B9}"/>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1B98-45ED-9504-8963E618F5B9}"/>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0"/>
            <c:extLst>
              <c:ext xmlns:c15="http://schemas.microsoft.com/office/drawing/2012/chart" uri="{CE6537A1-D6FC-4f65-9D91-7224C49458BB}"/>
            </c:extLst>
          </c:dLbls>
          <c:cat>
            <c:strRef>
              <c:f>Governance_Graf!$C$55:$C$56</c:f>
              <c:strCache>
                <c:ptCount val="2"/>
                <c:pt idx="0">
                  <c:v>Corporate Tax</c:v>
                </c:pt>
                <c:pt idx="1">
                  <c:v>Social Security Payale by company</c:v>
                </c:pt>
              </c:strCache>
            </c:strRef>
          </c:cat>
          <c:val>
            <c:numRef>
              <c:f>Governance_Graf!$E$55:$E$56</c:f>
              <c:numCache>
                <c:formatCode>_-* #,##0_-;\-* #,##0_-;_-* "-"??_-;_-@_-</c:formatCode>
                <c:ptCount val="2"/>
                <c:pt idx="0">
                  <c:v>93495</c:v>
                </c:pt>
                <c:pt idx="1">
                  <c:v>53345</c:v>
                </c:pt>
              </c:numCache>
            </c:numRef>
          </c:val>
          <c:extLst>
            <c:ext xmlns:c16="http://schemas.microsoft.com/office/drawing/2014/chart" uri="{C3380CC4-5D6E-409C-BE32-E72D297353CC}">
              <c16:uniqueId val="{00000004-1B98-45ED-9504-8963E618F5B9}"/>
            </c:ext>
          </c:extLst>
        </c:ser>
        <c:dLbls>
          <c:showLegendKey val="0"/>
          <c:showVal val="0"/>
          <c:showCatName val="0"/>
          <c:showSerName val="0"/>
          <c:showPercent val="1"/>
          <c:showBubbleSize val="0"/>
          <c:showLeaderLines val="0"/>
        </c:dLbls>
        <c:firstSliceAng val="0"/>
        <c:holeSize val="50"/>
      </c:doughnut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tx>
            <c:strRef>
              <c:f>Governance_Graf!$C$54</c:f>
              <c:strCache>
                <c:ptCount val="1"/>
                <c:pt idx="0">
                  <c:v>Total tax paid</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9C6C-4B16-89DA-941C1DC68639}"/>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9C6C-4B16-89DA-941C1DC68639}"/>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0"/>
            <c:extLst>
              <c:ext xmlns:c15="http://schemas.microsoft.com/office/drawing/2012/chart" uri="{CE6537A1-D6FC-4f65-9D91-7224C49458BB}"/>
            </c:extLst>
          </c:dLbls>
          <c:cat>
            <c:strRef>
              <c:f>Governance_Graf!$C$55:$C$56</c:f>
              <c:strCache>
                <c:ptCount val="2"/>
                <c:pt idx="0">
                  <c:v>Corporate Tax</c:v>
                </c:pt>
                <c:pt idx="1">
                  <c:v>Social Security Payale by company</c:v>
                </c:pt>
              </c:strCache>
            </c:strRef>
          </c:cat>
          <c:val>
            <c:numRef>
              <c:f>Governance_Graf!$D$55:$D$56</c:f>
              <c:numCache>
                <c:formatCode>_-* #,##0_-;\-* #,##0_-;_-* "-"??_-;_-@_-</c:formatCode>
                <c:ptCount val="2"/>
                <c:pt idx="0">
                  <c:v>32586</c:v>
                </c:pt>
                <c:pt idx="1">
                  <c:v>54410</c:v>
                </c:pt>
              </c:numCache>
            </c:numRef>
          </c:val>
          <c:extLst>
            <c:ext xmlns:c16="http://schemas.microsoft.com/office/drawing/2014/chart" uri="{C3380CC4-5D6E-409C-BE32-E72D297353CC}">
              <c16:uniqueId val="{00000004-9C6C-4B16-89DA-941C1DC68639}"/>
            </c:ext>
          </c:extLst>
        </c:ser>
        <c:dLbls>
          <c:showLegendKey val="0"/>
          <c:showVal val="0"/>
          <c:showCatName val="0"/>
          <c:showSerName val="0"/>
          <c:showPercent val="1"/>
          <c:showBubbleSize val="0"/>
          <c:showLeaderLines val="0"/>
        </c:dLbls>
        <c:firstSliceAng val="0"/>
        <c:holeSize val="50"/>
      </c:doughnut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tx>
            <c:strRef>
              <c:f>Governance_Graf!$I$54</c:f>
              <c:strCache>
                <c:ptCount val="1"/>
                <c:pt idx="0">
                  <c:v>Taxes Collected</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68A8-46B5-A470-46C8D55C7E89}"/>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68A8-46B5-A470-46C8D55C7E89}"/>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0"/>
            <c:extLst>
              <c:ext xmlns:c15="http://schemas.microsoft.com/office/drawing/2012/chart" uri="{CE6537A1-D6FC-4f65-9D91-7224C49458BB}"/>
            </c:extLst>
          </c:dLbls>
          <c:cat>
            <c:strRef>
              <c:f>Governance_Graf!$I$55:$I$56</c:f>
              <c:strCache>
                <c:ptCount val="2"/>
                <c:pt idx="0">
                  <c:v>Value added tax</c:v>
                </c:pt>
                <c:pt idx="1">
                  <c:v>Personal income tax  withholdings</c:v>
                </c:pt>
              </c:strCache>
            </c:strRef>
          </c:cat>
          <c:val>
            <c:numRef>
              <c:f>Governance_Graf!$K$55:$K$56</c:f>
              <c:numCache>
                <c:formatCode>_-* #,##0_-;\-* #,##0_-;_-* "-"??_-;_-@_-</c:formatCode>
                <c:ptCount val="2"/>
                <c:pt idx="0">
                  <c:v>85632</c:v>
                </c:pt>
                <c:pt idx="1">
                  <c:v>65114</c:v>
                </c:pt>
              </c:numCache>
            </c:numRef>
          </c:val>
          <c:extLst>
            <c:ext xmlns:c16="http://schemas.microsoft.com/office/drawing/2014/chart" uri="{C3380CC4-5D6E-409C-BE32-E72D297353CC}">
              <c16:uniqueId val="{00000004-68A8-46B5-A470-46C8D55C7E89}"/>
            </c:ext>
          </c:extLst>
        </c:ser>
        <c:dLbls>
          <c:showLegendKey val="0"/>
          <c:showVal val="0"/>
          <c:showCatName val="0"/>
          <c:showSerName val="0"/>
          <c:showPercent val="1"/>
          <c:showBubbleSize val="0"/>
          <c:showLeaderLines val="0"/>
        </c:dLbls>
        <c:firstSliceAng val="0"/>
        <c:holeSize val="50"/>
      </c:doughnut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tx>
            <c:strRef>
              <c:f>Governance_Graf!$I$54</c:f>
              <c:strCache>
                <c:ptCount val="1"/>
                <c:pt idx="0">
                  <c:v>Taxes Collected</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E43F-4D73-A0B2-98131DC85F18}"/>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E43F-4D73-A0B2-98131DC85F18}"/>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0"/>
            <c:extLst>
              <c:ext xmlns:c15="http://schemas.microsoft.com/office/drawing/2012/chart" uri="{CE6537A1-D6FC-4f65-9D91-7224C49458BB}"/>
            </c:extLst>
          </c:dLbls>
          <c:cat>
            <c:strRef>
              <c:f>Governance_Graf!$I$55:$I$56</c:f>
              <c:strCache>
                <c:ptCount val="2"/>
                <c:pt idx="0">
                  <c:v>Value added tax</c:v>
                </c:pt>
                <c:pt idx="1">
                  <c:v>Personal income tax  withholdings</c:v>
                </c:pt>
              </c:strCache>
            </c:strRef>
          </c:cat>
          <c:val>
            <c:numRef>
              <c:f>Governance_Graf!$J$55:$J$56</c:f>
              <c:numCache>
                <c:formatCode>_-* #,##0_-;\-* #,##0_-;_-* "-"??_-;_-@_-</c:formatCode>
                <c:ptCount val="2"/>
                <c:pt idx="0">
                  <c:v>105040</c:v>
                </c:pt>
                <c:pt idx="1">
                  <c:v>112203</c:v>
                </c:pt>
              </c:numCache>
            </c:numRef>
          </c:val>
          <c:extLst>
            <c:ext xmlns:c16="http://schemas.microsoft.com/office/drawing/2014/chart" uri="{C3380CC4-5D6E-409C-BE32-E72D297353CC}">
              <c16:uniqueId val="{00000004-E43F-4D73-A0B2-98131DC85F18}"/>
            </c:ext>
          </c:extLst>
        </c:ser>
        <c:dLbls>
          <c:showLegendKey val="0"/>
          <c:showVal val="0"/>
          <c:showCatName val="0"/>
          <c:showSerName val="0"/>
          <c:showPercent val="1"/>
          <c:showBubbleSize val="0"/>
          <c:showLeaderLines val="0"/>
        </c:dLbls>
        <c:firstSliceAng val="0"/>
        <c:holeSize val="50"/>
      </c:doughnut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204787</xdr:colOff>
      <xdr:row>27</xdr:row>
      <xdr:rowOff>95250</xdr:rowOff>
    </xdr:from>
    <xdr:to>
      <xdr:col>5</xdr:col>
      <xdr:colOff>628650</xdr:colOff>
      <xdr:row>46</xdr:row>
      <xdr:rowOff>19050</xdr:rowOff>
    </xdr:to>
    <xdr:graphicFrame macro="">
      <xdr:nvGraphicFramePr>
        <xdr:cNvPr id="2" name="Gráfico 1">
          <a:extLst>
            <a:ext uri="{FF2B5EF4-FFF2-40B4-BE49-F238E27FC236}">
              <a16:creationId xmlns:a16="http://schemas.microsoft.com/office/drawing/2014/main" id="{F29D818B-D303-4025-9F38-FA96A80552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314325</xdr:colOff>
      <xdr:row>27</xdr:row>
      <xdr:rowOff>57150</xdr:rowOff>
    </xdr:from>
    <xdr:to>
      <xdr:col>12</xdr:col>
      <xdr:colOff>347663</xdr:colOff>
      <xdr:row>46</xdr:row>
      <xdr:rowOff>0</xdr:rowOff>
    </xdr:to>
    <xdr:graphicFrame macro="">
      <xdr:nvGraphicFramePr>
        <xdr:cNvPr id="3" name="Gráfico 2">
          <a:extLst>
            <a:ext uri="{FF2B5EF4-FFF2-40B4-BE49-F238E27FC236}">
              <a16:creationId xmlns:a16="http://schemas.microsoft.com/office/drawing/2014/main" id="{0780A978-2598-4EED-BE34-026974B570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5</xdr:row>
      <xdr:rowOff>28574</xdr:rowOff>
    </xdr:from>
    <xdr:to>
      <xdr:col>5</xdr:col>
      <xdr:colOff>219075</xdr:colOff>
      <xdr:row>16</xdr:row>
      <xdr:rowOff>123824</xdr:rowOff>
    </xdr:to>
    <xdr:graphicFrame macro="">
      <xdr:nvGraphicFramePr>
        <xdr:cNvPr id="4" name="Gráfico 3">
          <a:extLst>
            <a:ext uri="{FF2B5EF4-FFF2-40B4-BE49-F238E27FC236}">
              <a16:creationId xmlns:a16="http://schemas.microsoft.com/office/drawing/2014/main" id="{35D0D813-BB25-4F09-B86E-2FA86F30F6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66675</xdr:colOff>
      <xdr:row>5</xdr:row>
      <xdr:rowOff>38100</xdr:rowOff>
    </xdr:from>
    <xdr:to>
      <xdr:col>10</xdr:col>
      <xdr:colOff>266700</xdr:colOff>
      <xdr:row>16</xdr:row>
      <xdr:rowOff>133350</xdr:rowOff>
    </xdr:to>
    <xdr:graphicFrame macro="">
      <xdr:nvGraphicFramePr>
        <xdr:cNvPr id="5" name="Gráfico 4">
          <a:extLst>
            <a:ext uri="{FF2B5EF4-FFF2-40B4-BE49-F238E27FC236}">
              <a16:creationId xmlns:a16="http://schemas.microsoft.com/office/drawing/2014/main" id="{B081E95F-B44E-4EC9-A009-6EE16B039B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247650</xdr:colOff>
      <xdr:row>56</xdr:row>
      <xdr:rowOff>171450</xdr:rowOff>
    </xdr:from>
    <xdr:to>
      <xdr:col>6</xdr:col>
      <xdr:colOff>57149</xdr:colOff>
      <xdr:row>68</xdr:row>
      <xdr:rowOff>85725</xdr:rowOff>
    </xdr:to>
    <xdr:graphicFrame macro="">
      <xdr:nvGraphicFramePr>
        <xdr:cNvPr id="6" name="Gráfico 5">
          <a:extLst>
            <a:ext uri="{FF2B5EF4-FFF2-40B4-BE49-F238E27FC236}">
              <a16:creationId xmlns:a16="http://schemas.microsoft.com/office/drawing/2014/main" id="{1B865E5A-8481-4553-9B54-80B53216A5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57</xdr:row>
      <xdr:rowOff>9525</xdr:rowOff>
    </xdr:from>
    <xdr:to>
      <xdr:col>3</xdr:col>
      <xdr:colOff>200024</xdr:colOff>
      <xdr:row>68</xdr:row>
      <xdr:rowOff>104775</xdr:rowOff>
    </xdr:to>
    <xdr:graphicFrame macro="">
      <xdr:nvGraphicFramePr>
        <xdr:cNvPr id="7" name="Gráfico 6">
          <a:extLst>
            <a:ext uri="{FF2B5EF4-FFF2-40B4-BE49-F238E27FC236}">
              <a16:creationId xmlns:a16="http://schemas.microsoft.com/office/drawing/2014/main" id="{5AB211CA-B27D-4FAE-824D-4C28823A57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742950</xdr:colOff>
      <xdr:row>56</xdr:row>
      <xdr:rowOff>171450</xdr:rowOff>
    </xdr:from>
    <xdr:to>
      <xdr:col>13</xdr:col>
      <xdr:colOff>104774</xdr:colOff>
      <xdr:row>68</xdr:row>
      <xdr:rowOff>85725</xdr:rowOff>
    </xdr:to>
    <xdr:graphicFrame macro="">
      <xdr:nvGraphicFramePr>
        <xdr:cNvPr id="8" name="Gráfico 7">
          <a:extLst>
            <a:ext uri="{FF2B5EF4-FFF2-40B4-BE49-F238E27FC236}">
              <a16:creationId xmlns:a16="http://schemas.microsoft.com/office/drawing/2014/main" id="{3DB2DA79-5B23-4CD5-9671-2328624716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495300</xdr:colOff>
      <xdr:row>57</xdr:row>
      <xdr:rowOff>9525</xdr:rowOff>
    </xdr:from>
    <xdr:to>
      <xdr:col>9</xdr:col>
      <xdr:colOff>695324</xdr:colOff>
      <xdr:row>68</xdr:row>
      <xdr:rowOff>104775</xdr:rowOff>
    </xdr:to>
    <xdr:graphicFrame macro="">
      <xdr:nvGraphicFramePr>
        <xdr:cNvPr id="9" name="Gráfico 8">
          <a:extLst>
            <a:ext uri="{FF2B5EF4-FFF2-40B4-BE49-F238E27FC236}">
              <a16:creationId xmlns:a16="http://schemas.microsoft.com/office/drawing/2014/main" id="{96E163FF-67B9-4FA8-913C-104BA1C15F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325755</xdr:colOff>
      <xdr:row>2</xdr:row>
      <xdr:rowOff>63397</xdr:rowOff>
    </xdr:from>
    <xdr:to>
      <xdr:col>10</xdr:col>
      <xdr:colOff>1799861</xdr:colOff>
      <xdr:row>3</xdr:row>
      <xdr:rowOff>130593</xdr:rowOff>
    </xdr:to>
    <xdr:pic>
      <xdr:nvPicPr>
        <xdr:cNvPr id="2" name="Imagen 1">
          <a:extLst>
            <a:ext uri="{FF2B5EF4-FFF2-40B4-BE49-F238E27FC236}">
              <a16:creationId xmlns:a16="http://schemas.microsoft.com/office/drawing/2014/main" id="{322DB4A3-2751-4526-8274-2768C47DC48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679" b="51226"/>
        <a:stretch/>
      </xdr:blipFill>
      <xdr:spPr>
        <a:xfrm>
          <a:off x="14260830" y="320572"/>
          <a:ext cx="1470931" cy="3434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266700</xdr:colOff>
      <xdr:row>1</xdr:row>
      <xdr:rowOff>133350</xdr:rowOff>
    </xdr:from>
    <xdr:to>
      <xdr:col>12</xdr:col>
      <xdr:colOff>17416</xdr:colOff>
      <xdr:row>3</xdr:row>
      <xdr:rowOff>97676</xdr:rowOff>
    </xdr:to>
    <xdr:pic>
      <xdr:nvPicPr>
        <xdr:cNvPr id="2" name="Imagen 1">
          <a:extLst>
            <a:ext uri="{FF2B5EF4-FFF2-40B4-BE49-F238E27FC236}">
              <a16:creationId xmlns:a16="http://schemas.microsoft.com/office/drawing/2014/main" id="{74EFDA75-F4BB-4ED5-BA30-AB67ABC300E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679" b="51226"/>
        <a:stretch/>
      </xdr:blipFill>
      <xdr:spPr>
        <a:xfrm>
          <a:off x="10934700" y="228600"/>
          <a:ext cx="1465216" cy="3643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fluidra-my.sharepoint.com/personal/clpueyo_fluidra_com/Documents/Documentos/Documentos%20ESG/Informe%20Integrado/Informe%20Integrado%202024/ESG-KPIs-summary_web.xlsx" TargetMode="External"/><Relationship Id="rId1" Type="http://schemas.openxmlformats.org/officeDocument/2006/relationships/externalLinkPath" Target="https://fluidra-my.sharepoint.com/personal/clpueyo_fluidra_com/Documents/Documentos/Documentos%20ESG/Informe%20Integrado/Informe%20Integrado%202024/ESG-KPIs-summary_web.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shortcut-targets-by-id/1UDQVjh2aewd-p1zollfFUCgAUy4na5BB/ESG/ESG/4.%20Annual%20Reports/3.%20Reports/7.%202023/2.%20Data%20&amp;%20Evidences/2.%20Sustainability%20Report/2.4.%20Social/2.4.3.%20Heath%20&amp;%20Safety/Incidents/Incidents%202023.xlsx" TargetMode="External"/><Relationship Id="rId2" Type="http://schemas.microsoft.com/office/2019/04/relationships/externalLinkLongPath" Target="/.shortcut-targets-by-id/1UDQVjh2aewd-p1zollfFUCgAUy4na5BB/ESG/ESG/4.%20Annual%20Reports/3.%20Reports/7.%202023/2.%20Data%20&amp;%20Evidences/2.%20Sustainability%20Report/2.4.%20Social/2.4.3.%20Heath%20&amp;%20Safety/Incidents/Incidents%202023.xlsx?3DA11A2E" TargetMode="External"/><Relationship Id="rId1" Type="http://schemas.openxmlformats.org/officeDocument/2006/relationships/externalLinkPath" Target="file:///\\3DA11A2E\Incidents%2020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Mi%20unidad/ESG/ESG/4.%20Annual%20Reports/3.%20Reports/7.%202023/2.%20Data%20&amp;%20Evidences/.Scope/Fluidra_Datos%20empresas_31122023.xlsx" TargetMode="External"/><Relationship Id="rId1" Type="http://schemas.openxmlformats.org/officeDocument/2006/relationships/externalLinkPath" Target="/Mi%20unidad/ESG/ESG/4.%20Annual%20Reports/3.%20Reports/7.%202023/2.%20Data%20&amp;%20Evidences/.Scope/Fluidra_Datos%20empresas_3112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étricas"/>
      <sheetName val="Environment"/>
      <sheetName val="Social"/>
      <sheetName val="Governance"/>
      <sheetName val="Governance_Graf"/>
      <sheetName val="Data"/>
      <sheetName val="Main targets"/>
    </sheetNames>
    <sheetDataSet>
      <sheetData sheetId="0"/>
      <sheetData sheetId="1"/>
      <sheetData sheetId="2"/>
      <sheetData sheetId="3"/>
      <sheetData sheetId="4"/>
      <sheetData sheetId="5">
        <row r="13">
          <cell r="E13">
            <v>20980</v>
          </cell>
          <cell r="F13">
            <v>15653</v>
          </cell>
          <cell r="G13">
            <v>12046</v>
          </cell>
          <cell r="H13">
            <v>9357.9699999999993</v>
          </cell>
        </row>
        <row r="14">
          <cell r="E14">
            <v>9215449</v>
          </cell>
          <cell r="F14">
            <v>7228948</v>
          </cell>
          <cell r="G14">
            <v>9688774</v>
          </cell>
        </row>
        <row r="21">
          <cell r="E21">
            <v>0.71285713733051614</v>
          </cell>
          <cell r="F21">
            <v>0.82975595877852948</v>
          </cell>
          <cell r="G21">
            <v>0.85914806694027468</v>
          </cell>
        </row>
        <row r="39">
          <cell r="E39">
            <v>0.41</v>
          </cell>
          <cell r="F39">
            <v>0.53</v>
          </cell>
          <cell r="G39">
            <v>0.51</v>
          </cell>
        </row>
        <row r="69">
          <cell r="E69">
            <v>0.06</v>
          </cell>
          <cell r="F69">
            <v>3.3000000000000002E-2</v>
          </cell>
          <cell r="G69">
            <v>1.7000000000000001E-2</v>
          </cell>
        </row>
        <row r="80">
          <cell r="E80">
            <v>22701</v>
          </cell>
          <cell r="F80">
            <v>28902</v>
          </cell>
          <cell r="G80">
            <v>48055</v>
          </cell>
        </row>
        <row r="94">
          <cell r="E94">
            <v>7.4</v>
          </cell>
          <cell r="F94">
            <v>7.7</v>
          </cell>
          <cell r="G94">
            <v>7.83</v>
          </cell>
        </row>
        <row r="112">
          <cell r="E112">
            <v>60</v>
          </cell>
          <cell r="F112">
            <v>66</v>
          </cell>
          <cell r="G112">
            <v>66</v>
          </cell>
        </row>
      </sheetData>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3"/>
    </xxl21:alternateUrls>
    <sheetNames>
      <sheetName val="Métricas"/>
      <sheetName val="2023 data"/>
      <sheetName val="2023_TD_Empleados"/>
      <sheetName val="2023_TD_Externos"/>
      <sheetName val="TRIR GLOBAL"/>
      <sheetName val="TRIR EMEA"/>
      <sheetName val="TRIR APAC"/>
      <sheetName val="TRIR AMER"/>
      <sheetName val="Ratios y Días de Baja "/>
    </sheetNames>
    <sheetDataSet>
      <sheetData sheetId="0"/>
      <sheetData sheetId="1"/>
      <sheetData sheetId="2">
        <row r="7">
          <cell r="Q7" t="str">
            <v>Suma de Number of Days</v>
          </cell>
        </row>
        <row r="8">
          <cell r="B8" t="str">
            <v>Cuenta de Incident Number</v>
          </cell>
          <cell r="G8" t="str">
            <v>Cuenta de Incident Number</v>
          </cell>
          <cell r="L8" t="str">
            <v>Cuenta de Incident Number</v>
          </cell>
        </row>
        <row r="30">
          <cell r="L30" t="str">
            <v>Cuenta de Incident Number</v>
          </cell>
        </row>
        <row r="37">
          <cell r="G37" t="str">
            <v>Cuenta de Incident Number</v>
          </cell>
        </row>
      </sheetData>
      <sheetData sheetId="3">
        <row r="7">
          <cell r="O7" t="str">
            <v>Suma de Number of Days</v>
          </cell>
        </row>
        <row r="8">
          <cell r="B8" t="str">
            <v>Cuenta de Incident Number</v>
          </cell>
          <cell r="G8" t="str">
            <v>Cuenta de Incident Number</v>
          </cell>
        </row>
        <row r="19">
          <cell r="G19" t="str">
            <v>Cuenta de Incident Number</v>
          </cell>
        </row>
        <row r="30">
          <cell r="K30" t="str">
            <v>Cuenta de Incident Number</v>
          </cell>
        </row>
      </sheetData>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Fluidra Companies 2023"/>
      <sheetName val="Comités H&amp;S"/>
      <sheetName val="Sales 3rdP R2021"/>
      <sheetName val="Sales 3rdP 2023"/>
      <sheetName val="Sales 3rdP 2022"/>
      <sheetName val="Hoja1"/>
      <sheetName val="Plantilla"/>
    </sheetNames>
    <sheetDataSet>
      <sheetData sheetId="0">
        <row r="5">
          <cell r="J5">
            <v>157737428.78000003</v>
          </cell>
          <cell r="O5">
            <v>134665.38743</v>
          </cell>
        </row>
        <row r="6">
          <cell r="J6">
            <v>4100749.1799999997</v>
          </cell>
          <cell r="O6">
            <v>3399.9806400000002</v>
          </cell>
        </row>
        <row r="7">
          <cell r="J7">
            <v>6953936.5600000005</v>
          </cell>
          <cell r="O7">
            <v>5696.9028200000002</v>
          </cell>
        </row>
        <row r="8">
          <cell r="J8">
            <v>13330841</v>
          </cell>
          <cell r="O8">
            <v>10521.794820000001</v>
          </cell>
        </row>
        <row r="9">
          <cell r="J9">
            <v>323309.24</v>
          </cell>
          <cell r="O9">
            <v>299.83100999999999</v>
          </cell>
        </row>
        <row r="10">
          <cell r="J10">
            <v>0</v>
          </cell>
          <cell r="O10">
            <v>0</v>
          </cell>
        </row>
        <row r="11">
          <cell r="J11">
            <v>60456384.460000001</v>
          </cell>
          <cell r="O11">
            <v>60502.26455</v>
          </cell>
        </row>
        <row r="12">
          <cell r="J12">
            <v>506781.04000000004</v>
          </cell>
          <cell r="O12">
            <v>461.87977000000006</v>
          </cell>
        </row>
        <row r="13">
          <cell r="J13">
            <v>66936105.930000007</v>
          </cell>
          <cell r="O13">
            <v>59384.220180000004</v>
          </cell>
        </row>
        <row r="14">
          <cell r="J14">
            <v>9702022.7440147325</v>
          </cell>
          <cell r="O14">
            <v>7174.7740791896867</v>
          </cell>
        </row>
        <row r="15">
          <cell r="J15">
            <v>35746664.640000001</v>
          </cell>
          <cell r="O15">
            <v>30529.679550000001</v>
          </cell>
        </row>
        <row r="16">
          <cell r="J16">
            <v>163406358.15000001</v>
          </cell>
          <cell r="O16">
            <v>145396.32792000001</v>
          </cell>
        </row>
        <row r="17">
          <cell r="J17">
            <v>0</v>
          </cell>
          <cell r="O17">
            <v>0</v>
          </cell>
        </row>
        <row r="18">
          <cell r="J18">
            <v>28932497.099107414</v>
          </cell>
          <cell r="O18">
            <v>21144.750082203042</v>
          </cell>
        </row>
        <row r="19">
          <cell r="J19">
            <v>4530656.6712138476</v>
          </cell>
          <cell r="O19">
            <v>4030.3411627701662</v>
          </cell>
        </row>
        <row r="20">
          <cell r="J20">
            <v>8980134.959098801</v>
          </cell>
          <cell r="O20">
            <v>7305.3958471544174</v>
          </cell>
        </row>
        <row r="21">
          <cell r="J21">
            <v>7864280.8277488742</v>
          </cell>
          <cell r="O21">
            <v>6183.8286007482875</v>
          </cell>
        </row>
        <row r="22">
          <cell r="J22">
            <v>13069091.784960631</v>
          </cell>
          <cell r="O22">
            <v>11235.983660191469</v>
          </cell>
        </row>
        <row r="23">
          <cell r="J23">
            <v>0</v>
          </cell>
          <cell r="O23">
            <v>0</v>
          </cell>
        </row>
        <row r="24">
          <cell r="J24">
            <v>21095800.359999996</v>
          </cell>
          <cell r="O24">
            <v>16347.801319999999</v>
          </cell>
        </row>
        <row r="25">
          <cell r="J25">
            <v>212437.94000000003</v>
          </cell>
          <cell r="O25">
            <v>164.90122</v>
          </cell>
        </row>
        <row r="26">
          <cell r="J26">
            <v>6023539.1889413409</v>
          </cell>
          <cell r="O26">
            <v>4658.6335648654785</v>
          </cell>
        </row>
        <row r="27">
          <cell r="J27">
            <v>7037800.6076541366</v>
          </cell>
          <cell r="O27">
            <v>5959.797801124012</v>
          </cell>
        </row>
        <row r="28">
          <cell r="J28">
            <v>7542988.8734138049</v>
          </cell>
          <cell r="O28">
            <v>5987.8837022132802</v>
          </cell>
        </row>
        <row r="29">
          <cell r="J29">
            <v>0</v>
          </cell>
          <cell r="O29">
            <v>0</v>
          </cell>
        </row>
        <row r="30">
          <cell r="J30">
            <v>4725679.3500000006</v>
          </cell>
          <cell r="O30">
            <v>4126.3577600000008</v>
          </cell>
        </row>
        <row r="31">
          <cell r="J31">
            <v>0</v>
          </cell>
          <cell r="O31">
            <v>0</v>
          </cell>
        </row>
        <row r="32">
          <cell r="J32">
            <v>5389870.5855583372</v>
          </cell>
          <cell r="O32">
            <v>4383.6100737602692</v>
          </cell>
        </row>
        <row r="33">
          <cell r="J33">
            <v>2843409.1489142738</v>
          </cell>
          <cell r="O33">
            <v>2550.9225987547206</v>
          </cell>
        </row>
        <row r="34">
          <cell r="J34">
            <v>43334036.878453039</v>
          </cell>
          <cell r="O34">
            <v>34415.118865101285</v>
          </cell>
        </row>
        <row r="35">
          <cell r="J35">
            <v>0</v>
          </cell>
          <cell r="O35">
            <v>0</v>
          </cell>
        </row>
        <row r="36">
          <cell r="J36">
            <v>29710994.23</v>
          </cell>
          <cell r="O36">
            <v>26323.91113</v>
          </cell>
        </row>
        <row r="37">
          <cell r="J37">
            <v>11265594.539999999</v>
          </cell>
          <cell r="O37">
            <v>9450.2421299999987</v>
          </cell>
        </row>
        <row r="38">
          <cell r="J38">
            <v>15351447.770000001</v>
          </cell>
          <cell r="O38">
            <v>13490.881290000001</v>
          </cell>
        </row>
        <row r="39">
          <cell r="J39">
            <v>0</v>
          </cell>
          <cell r="O39">
            <v>0</v>
          </cell>
        </row>
        <row r="40">
          <cell r="J40">
            <v>2541528.33</v>
          </cell>
          <cell r="O40">
            <v>2430.2520100000002</v>
          </cell>
        </row>
        <row r="41">
          <cell r="J41">
            <v>11867746.18570406</v>
          </cell>
          <cell r="O41">
            <v>9611.2889042846909</v>
          </cell>
        </row>
        <row r="42">
          <cell r="J42">
            <v>6150268.8703907542</v>
          </cell>
          <cell r="O42">
            <v>4328.5118631231071</v>
          </cell>
        </row>
        <row r="43">
          <cell r="J43">
            <v>5314715.6300000008</v>
          </cell>
          <cell r="O43">
            <v>4713.2222099999999</v>
          </cell>
        </row>
        <row r="44">
          <cell r="J44">
            <v>510540.71484163112</v>
          </cell>
          <cell r="O44">
            <v>284.11936762623878</v>
          </cell>
        </row>
        <row r="45">
          <cell r="J45">
            <v>19027770.659170475</v>
          </cell>
          <cell r="O45">
            <v>14546.41148436478</v>
          </cell>
        </row>
        <row r="46">
          <cell r="J46">
            <v>10750735.439999999</v>
          </cell>
          <cell r="O46">
            <v>9707.9412900000007</v>
          </cell>
        </row>
        <row r="47">
          <cell r="J47">
            <v>2122542.1634846888</v>
          </cell>
          <cell r="O47">
            <v>1530.9067107156877</v>
          </cell>
        </row>
        <row r="48">
          <cell r="J48">
            <v>29466842.432146829</v>
          </cell>
          <cell r="O48">
            <v>19972.713804196839</v>
          </cell>
        </row>
        <row r="49">
          <cell r="J49">
            <v>0</v>
          </cell>
          <cell r="O49">
            <v>0</v>
          </cell>
        </row>
        <row r="50">
          <cell r="J50">
            <v>14951195.769999998</v>
          </cell>
          <cell r="O50">
            <v>13488.31388</v>
          </cell>
        </row>
        <row r="51">
          <cell r="J51">
            <v>4097388.2716163942</v>
          </cell>
          <cell r="O51">
            <v>2858.4908748508351</v>
          </cell>
        </row>
        <row r="52">
          <cell r="J52">
            <v>4928438.8272583205</v>
          </cell>
          <cell r="O52">
            <v>4298.3638245861275</v>
          </cell>
        </row>
        <row r="53">
          <cell r="J53">
            <v>11944557.767127318</v>
          </cell>
          <cell r="O53">
            <v>9246.3902692857664</v>
          </cell>
        </row>
        <row r="54">
          <cell r="J54">
            <v>1224662.1090911273</v>
          </cell>
          <cell r="O54">
            <v>1248.3178303605027</v>
          </cell>
        </row>
        <row r="55">
          <cell r="J55">
            <v>0</v>
          </cell>
          <cell r="O55">
            <v>0</v>
          </cell>
        </row>
        <row r="56">
          <cell r="J56">
            <v>11757835.622423397</v>
          </cell>
          <cell r="O56">
            <v>8585.7106803640054</v>
          </cell>
        </row>
        <row r="57">
          <cell r="J57">
            <v>754607.21382464224</v>
          </cell>
          <cell r="O57">
            <v>440.10931386563198</v>
          </cell>
        </row>
        <row r="58">
          <cell r="J58">
            <v>3029192.0329041458</v>
          </cell>
          <cell r="O58">
            <v>2363.5172427028056</v>
          </cell>
        </row>
        <row r="59">
          <cell r="J59">
            <v>5106766.47</v>
          </cell>
          <cell r="O59">
            <v>4251.4319399999995</v>
          </cell>
        </row>
        <row r="60">
          <cell r="J60">
            <v>1873377.872407798</v>
          </cell>
          <cell r="O60">
            <v>1097.7287791585341</v>
          </cell>
        </row>
        <row r="61">
          <cell r="J61">
            <v>3904164.666558953</v>
          </cell>
          <cell r="O61">
            <v>3281.2054218573039</v>
          </cell>
        </row>
        <row r="62">
          <cell r="J62">
            <v>2313033.4785969919</v>
          </cell>
          <cell r="O62">
            <v>1740.7402491385837</v>
          </cell>
        </row>
        <row r="63">
          <cell r="J63">
            <v>763791.1</v>
          </cell>
          <cell r="O63">
            <v>628.57166000000007</v>
          </cell>
        </row>
        <row r="64">
          <cell r="J64">
            <v>7103845.7844676301</v>
          </cell>
          <cell r="O64">
            <v>5541.264469304735</v>
          </cell>
        </row>
        <row r="65">
          <cell r="J65">
            <v>1514186.3289318245</v>
          </cell>
          <cell r="O65">
            <v>1097.4994656500533</v>
          </cell>
        </row>
        <row r="66">
          <cell r="J66">
            <v>4083291.2552093095</v>
          </cell>
          <cell r="O66">
            <v>3123.5459154676464</v>
          </cell>
        </row>
        <row r="67">
          <cell r="J67">
            <v>0</v>
          </cell>
          <cell r="O67">
            <v>0</v>
          </cell>
        </row>
        <row r="68">
          <cell r="J68">
            <v>6882202.7400000002</v>
          </cell>
          <cell r="O68">
            <v>5914.2038900000007</v>
          </cell>
        </row>
        <row r="69">
          <cell r="J69">
            <v>40438037.798513047</v>
          </cell>
          <cell r="O69">
            <v>26115.247790882946</v>
          </cell>
        </row>
        <row r="70">
          <cell r="J70">
            <v>35891609.860000007</v>
          </cell>
          <cell r="O70">
            <v>32369.486680000002</v>
          </cell>
        </row>
        <row r="71">
          <cell r="J71">
            <v>0</v>
          </cell>
          <cell r="O71">
            <v>0</v>
          </cell>
        </row>
        <row r="72">
          <cell r="J72">
            <v>0</v>
          </cell>
          <cell r="O72">
            <v>134.27884</v>
          </cell>
        </row>
        <row r="73">
          <cell r="J73">
            <v>0</v>
          </cell>
          <cell r="O73">
            <v>0</v>
          </cell>
        </row>
        <row r="74">
          <cell r="J74">
            <v>0</v>
          </cell>
          <cell r="O74">
            <v>0</v>
          </cell>
        </row>
        <row r="75">
          <cell r="J75">
            <v>4611135.5896204645</v>
          </cell>
          <cell r="O75">
            <v>3578.1307230029597</v>
          </cell>
        </row>
        <row r="76">
          <cell r="J76">
            <v>0</v>
          </cell>
          <cell r="O76">
            <v>0</v>
          </cell>
        </row>
        <row r="77">
          <cell r="J77">
            <v>1665183.540086118</v>
          </cell>
          <cell r="O77">
            <v>1406.26733135124</v>
          </cell>
        </row>
        <row r="78">
          <cell r="J78">
            <v>0</v>
          </cell>
          <cell r="O78">
            <v>0</v>
          </cell>
        </row>
        <row r="79">
          <cell r="J79">
            <v>0</v>
          </cell>
          <cell r="O79">
            <v>0</v>
          </cell>
        </row>
        <row r="80">
          <cell r="J80">
            <v>2542808.7377881985</v>
          </cell>
          <cell r="O80">
            <v>1453.6247615830989</v>
          </cell>
        </row>
        <row r="81">
          <cell r="J81">
            <v>0</v>
          </cell>
          <cell r="O81">
            <v>0</v>
          </cell>
        </row>
        <row r="82">
          <cell r="J82">
            <v>832215.52000000014</v>
          </cell>
          <cell r="O82">
            <v>719.50679000000002</v>
          </cell>
        </row>
        <row r="83">
          <cell r="J83">
            <v>33673608.763505407</v>
          </cell>
          <cell r="O83">
            <v>27394.691318417164</v>
          </cell>
        </row>
        <row r="84">
          <cell r="J84">
            <v>426165.4146982652</v>
          </cell>
          <cell r="O84">
            <v>251.58540887086224</v>
          </cell>
        </row>
        <row r="85">
          <cell r="J85"/>
          <cell r="O85">
            <v>0</v>
          </cell>
        </row>
        <row r="86">
          <cell r="J86">
            <v>72237830.815403089</v>
          </cell>
          <cell r="O86">
            <v>54965.120941198235</v>
          </cell>
        </row>
        <row r="87">
          <cell r="J87">
            <v>5279340.8270630697</v>
          </cell>
          <cell r="O87">
            <v>3450.0583144067277</v>
          </cell>
        </row>
        <row r="88">
          <cell r="J88">
            <v>10680642.601088887</v>
          </cell>
          <cell r="O88">
            <v>7570.2777484500657</v>
          </cell>
        </row>
        <row r="89">
          <cell r="J89">
            <v>0</v>
          </cell>
          <cell r="O89">
            <v>0</v>
          </cell>
        </row>
        <row r="90">
          <cell r="J90">
            <v>0</v>
          </cell>
          <cell r="O90">
            <v>0</v>
          </cell>
        </row>
        <row r="91">
          <cell r="J91">
            <v>29166448.914950602</v>
          </cell>
          <cell r="O91">
            <v>23082.882821745567</v>
          </cell>
        </row>
        <row r="92">
          <cell r="J92">
            <v>0</v>
          </cell>
          <cell r="O92">
            <v>0</v>
          </cell>
        </row>
        <row r="93">
          <cell r="J93">
            <v>14174168.660233784</v>
          </cell>
          <cell r="O93">
            <v>12505.090545293453</v>
          </cell>
        </row>
        <row r="94">
          <cell r="J94">
            <v>5757422.2582613304</v>
          </cell>
          <cell r="O94">
            <v>5478.3891039590198</v>
          </cell>
        </row>
        <row r="95">
          <cell r="J95">
            <v>0</v>
          </cell>
          <cell r="O95">
            <v>0</v>
          </cell>
        </row>
        <row r="96">
          <cell r="J96">
            <v>0</v>
          </cell>
          <cell r="O96">
            <v>0</v>
          </cell>
        </row>
        <row r="97">
          <cell r="J97">
            <v>0</v>
          </cell>
          <cell r="O97">
            <v>0</v>
          </cell>
        </row>
        <row r="98">
          <cell r="J98">
            <v>0</v>
          </cell>
          <cell r="O98">
            <v>0</v>
          </cell>
        </row>
        <row r="99">
          <cell r="J99">
            <v>0</v>
          </cell>
          <cell r="O99">
            <v>0</v>
          </cell>
        </row>
        <row r="100">
          <cell r="J100">
            <v>0</v>
          </cell>
          <cell r="O100">
            <v>0</v>
          </cell>
        </row>
        <row r="101">
          <cell r="J101">
            <v>0</v>
          </cell>
          <cell r="O101">
            <v>0</v>
          </cell>
        </row>
        <row r="102">
          <cell r="J102">
            <v>0</v>
          </cell>
          <cell r="O102">
            <v>0</v>
          </cell>
        </row>
        <row r="103">
          <cell r="J103">
            <v>0</v>
          </cell>
          <cell r="O103">
            <v>0</v>
          </cell>
        </row>
        <row r="104">
          <cell r="J104">
            <v>0</v>
          </cell>
          <cell r="O104">
            <v>0</v>
          </cell>
        </row>
        <row r="105">
          <cell r="J105">
            <v>0</v>
          </cell>
          <cell r="O105">
            <v>0</v>
          </cell>
        </row>
        <row r="106">
          <cell r="J106">
            <v>0</v>
          </cell>
          <cell r="O106">
            <v>0</v>
          </cell>
        </row>
        <row r="107">
          <cell r="J107">
            <v>0</v>
          </cell>
          <cell r="O107">
            <v>0</v>
          </cell>
        </row>
        <row r="108">
          <cell r="J108">
            <v>0</v>
          </cell>
          <cell r="O108">
            <v>0</v>
          </cell>
        </row>
        <row r="109">
          <cell r="J109">
            <v>0</v>
          </cell>
          <cell r="O109">
            <v>0</v>
          </cell>
        </row>
        <row r="110">
          <cell r="J110">
            <v>0</v>
          </cell>
          <cell r="O110">
            <v>0</v>
          </cell>
        </row>
        <row r="111">
          <cell r="J111">
            <v>0</v>
          </cell>
          <cell r="O111">
            <v>0</v>
          </cell>
        </row>
        <row r="112">
          <cell r="J112">
            <v>2860029.71</v>
          </cell>
          <cell r="O112">
            <v>0</v>
          </cell>
        </row>
        <row r="113">
          <cell r="J113">
            <v>0</v>
          </cell>
          <cell r="O113">
            <v>0</v>
          </cell>
        </row>
        <row r="114">
          <cell r="J114">
            <v>0</v>
          </cell>
          <cell r="O114">
            <v>0</v>
          </cell>
        </row>
        <row r="115">
          <cell r="J115">
            <v>2806765.29</v>
          </cell>
          <cell r="O115">
            <v>0</v>
          </cell>
        </row>
        <row r="116">
          <cell r="J116">
            <v>0</v>
          </cell>
          <cell r="O116">
            <v>0</v>
          </cell>
        </row>
        <row r="117">
          <cell r="J117">
            <v>309173.70999999996</v>
          </cell>
          <cell r="O117">
            <v>0</v>
          </cell>
        </row>
        <row r="118">
          <cell r="J118">
            <v>0</v>
          </cell>
          <cell r="O118">
            <v>0</v>
          </cell>
        </row>
        <row r="119">
          <cell r="J119">
            <v>63413382.251362093</v>
          </cell>
          <cell r="O119">
            <v>50712.052524038474</v>
          </cell>
        </row>
        <row r="120">
          <cell r="J120">
            <v>131275620.79892334</v>
          </cell>
          <cell r="O120">
            <v>86583.938469093366</v>
          </cell>
        </row>
        <row r="121">
          <cell r="J121">
            <v>0</v>
          </cell>
          <cell r="O121">
            <v>0</v>
          </cell>
        </row>
        <row r="122">
          <cell r="J122">
            <v>6068391.8972443836</v>
          </cell>
          <cell r="O122">
            <v>3801.6474660915947</v>
          </cell>
        </row>
        <row r="123">
          <cell r="J123">
            <v>0</v>
          </cell>
          <cell r="O123">
            <v>0</v>
          </cell>
        </row>
        <row r="124">
          <cell r="J124">
            <v>24096.25</v>
          </cell>
          <cell r="O124">
            <v>6.9210500000000001</v>
          </cell>
        </row>
        <row r="125">
          <cell r="J125">
            <v>29545345.27</v>
          </cell>
          <cell r="O125">
            <v>26139.81741</v>
          </cell>
        </row>
        <row r="126">
          <cell r="J126">
            <v>0</v>
          </cell>
          <cell r="O126">
            <v>0</v>
          </cell>
        </row>
        <row r="127">
          <cell r="J127">
            <v>0</v>
          </cell>
          <cell r="O127">
            <v>0</v>
          </cell>
        </row>
        <row r="128">
          <cell r="J128">
            <v>0</v>
          </cell>
          <cell r="O128">
            <v>0</v>
          </cell>
        </row>
        <row r="129">
          <cell r="J129">
            <v>0</v>
          </cell>
          <cell r="O129">
            <v>0</v>
          </cell>
        </row>
        <row r="130">
          <cell r="J130">
            <v>0</v>
          </cell>
          <cell r="O130">
            <v>0</v>
          </cell>
        </row>
        <row r="131">
          <cell r="J131">
            <v>0</v>
          </cell>
          <cell r="O131">
            <v>0</v>
          </cell>
        </row>
        <row r="132">
          <cell r="J132">
            <v>0</v>
          </cell>
          <cell r="O132">
            <v>0</v>
          </cell>
        </row>
        <row r="133">
          <cell r="J133">
            <v>0</v>
          </cell>
          <cell r="O133">
            <v>0</v>
          </cell>
        </row>
        <row r="134">
          <cell r="J134">
            <v>0</v>
          </cell>
          <cell r="O134">
            <v>0</v>
          </cell>
        </row>
        <row r="135">
          <cell r="J135">
            <v>0</v>
          </cell>
          <cell r="O135">
            <v>0</v>
          </cell>
        </row>
        <row r="136">
          <cell r="J136">
            <v>0</v>
          </cell>
          <cell r="O136">
            <v>0</v>
          </cell>
        </row>
        <row r="137">
          <cell r="J137">
            <v>0</v>
          </cell>
          <cell r="O137">
            <v>0</v>
          </cell>
        </row>
        <row r="138">
          <cell r="J138">
            <v>18939001.149110805</v>
          </cell>
          <cell r="O138">
            <v>15383.905295287739</v>
          </cell>
        </row>
        <row r="139">
          <cell r="J139">
            <v>626993385.01246643</v>
          </cell>
          <cell r="O139">
            <v>467912.30539940839</v>
          </cell>
        </row>
        <row r="140">
          <cell r="J140">
            <v>0</v>
          </cell>
          <cell r="O140">
            <v>0</v>
          </cell>
        </row>
        <row r="141">
          <cell r="J141">
            <v>0</v>
          </cell>
          <cell r="O141">
            <v>0</v>
          </cell>
        </row>
      </sheetData>
      <sheetData sheetId="1"/>
      <sheetData sheetId="2"/>
      <sheetData sheetId="3"/>
      <sheetData sheetId="4"/>
      <sheetData sheetId="5" refreshError="1"/>
      <sheetData sheetId="6" refreshError="1"/>
    </sheetDataSet>
  </externalBook>
</externalLink>
</file>

<file path=xl/persons/person.xml><?xml version="1.0" encoding="utf-8"?>
<personList xmlns="http://schemas.microsoft.com/office/spreadsheetml/2018/threadedcomments" xmlns:x="http://schemas.openxmlformats.org/spreadsheetml/2006/main">
  <person displayName="Maria Merce Pomares" id="{EB7E1533-7406-486C-98CF-26FDA8363E22}" userId="mmpomares@fluidra.com" providerId="PeoplePicker"/>
  <person displayName="Carla Coloma" id="{C9E75327-D50C-483A-A0DA-7E63624E5BAC}" userId="S::ccoloma@fluidra.com::5d202d65-78cd-403f-981c-488be23554f2"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3" dT="2026-04-15T07:20:16.76" personId="{C9E75327-D50C-483A-A0DA-7E63624E5BAC}" id="{593084DE-AB70-4CE1-8A0A-AD5DDD4726DC}">
    <text>@Maria Merce Pomares actualitzar 2025</text>
    <mentions>
      <mention mentionpersonId="{EB7E1533-7406-486C-98CF-26FDA8363E22}" mentionId="{85715C8D-EB5F-43D5-9BD7-B013304818F9}" startIndex="0" length="20"/>
    </mentions>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27C97-3D4D-425D-B044-0C8D9A58D29B}">
  <dimension ref="B2:O135"/>
  <sheetViews>
    <sheetView showGridLines="0" topLeftCell="A25" zoomScale="110" zoomScaleNormal="110" workbookViewId="0">
      <selection activeCell="E31" sqref="E31"/>
    </sheetView>
  </sheetViews>
  <sheetFormatPr baseColWidth="10" defaultColWidth="11" defaultRowHeight="14" x14ac:dyDescent="0.3"/>
  <cols>
    <col min="1" max="1" width="3.75" customWidth="1"/>
    <col min="2" max="2" width="71.33203125" customWidth="1"/>
    <col min="3" max="3" width="15.25" customWidth="1"/>
    <col min="4" max="4" width="14.75" customWidth="1"/>
    <col min="5" max="5" width="13.58203125" customWidth="1"/>
    <col min="6" max="6" width="12.5" customWidth="1"/>
    <col min="7" max="8" width="11.33203125" bestFit="1" customWidth="1"/>
  </cols>
  <sheetData>
    <row r="2" spans="2:13" ht="17.5" x14ac:dyDescent="0.35">
      <c r="B2" s="108" t="s">
        <v>0</v>
      </c>
    </row>
    <row r="3" spans="2:13" ht="13.9" customHeight="1" x14ac:dyDescent="0.3">
      <c r="B3" s="221" t="s">
        <v>1</v>
      </c>
      <c r="C3" s="221"/>
      <c r="D3" s="221"/>
      <c r="E3" s="221"/>
      <c r="F3" s="221"/>
      <c r="G3" s="221"/>
      <c r="H3" s="221"/>
      <c r="I3" s="221"/>
      <c r="J3" s="221"/>
      <c r="K3" s="221"/>
      <c r="L3" s="221"/>
      <c r="M3" s="221"/>
    </row>
    <row r="4" spans="2:13" x14ac:dyDescent="0.3">
      <c r="B4" s="221"/>
      <c r="C4" s="221"/>
      <c r="D4" s="221"/>
      <c r="E4" s="221"/>
      <c r="F4" s="221"/>
      <c r="G4" s="221"/>
      <c r="H4" s="221"/>
      <c r="I4" s="221"/>
      <c r="J4" s="221"/>
      <c r="K4" s="221"/>
      <c r="L4" s="221"/>
      <c r="M4" s="221"/>
    </row>
    <row r="5" spans="2:13" x14ac:dyDescent="0.3">
      <c r="B5" s="221"/>
      <c r="C5" s="221"/>
      <c r="D5" s="221"/>
      <c r="E5" s="221"/>
      <c r="F5" s="221"/>
      <c r="G5" s="221"/>
      <c r="H5" s="221"/>
      <c r="I5" s="221"/>
      <c r="J5" s="221"/>
      <c r="K5" s="221"/>
      <c r="L5" s="221"/>
      <c r="M5" s="221"/>
    </row>
    <row r="6" spans="2:13" x14ac:dyDescent="0.3">
      <c r="B6" s="221"/>
      <c r="C6" s="221"/>
      <c r="D6" s="221"/>
      <c r="E6" s="221"/>
      <c r="F6" s="221"/>
      <c r="G6" s="221"/>
      <c r="H6" s="221"/>
      <c r="I6" s="221"/>
      <c r="J6" s="221"/>
      <c r="K6" s="221"/>
      <c r="L6" s="221"/>
      <c r="M6" s="221"/>
    </row>
    <row r="8" spans="2:13" x14ac:dyDescent="0.3">
      <c r="B8" s="10" t="s">
        <v>2</v>
      </c>
    </row>
    <row r="9" spans="2:13" x14ac:dyDescent="0.3">
      <c r="B9" s="217" t="s">
        <v>3</v>
      </c>
      <c r="C9" s="217"/>
      <c r="D9" s="217"/>
      <c r="E9" s="217"/>
      <c r="F9" s="217"/>
      <c r="G9" s="217"/>
      <c r="H9" s="217"/>
      <c r="I9" s="217"/>
      <c r="J9" s="217"/>
      <c r="K9" s="217"/>
      <c r="L9" s="217"/>
      <c r="M9" s="217"/>
    </row>
    <row r="10" spans="2:13" x14ac:dyDescent="0.3">
      <c r="B10" s="217" t="s">
        <v>4</v>
      </c>
      <c r="C10" s="217"/>
      <c r="D10" s="217"/>
      <c r="E10" s="217"/>
      <c r="F10" s="217"/>
      <c r="G10" s="217"/>
      <c r="H10" s="217"/>
      <c r="I10" s="217"/>
      <c r="J10" s="217"/>
      <c r="K10" s="217"/>
      <c r="L10" s="217"/>
      <c r="M10" s="217"/>
    </row>
    <row r="11" spans="2:13" x14ac:dyDescent="0.3">
      <c r="B11" s="217"/>
      <c r="C11" s="217"/>
      <c r="D11" s="217"/>
      <c r="E11" s="217"/>
      <c r="F11" s="217"/>
      <c r="G11" s="217"/>
      <c r="H11" s="217"/>
      <c r="I11" s="217"/>
      <c r="J11" s="217"/>
      <c r="K11" s="217"/>
      <c r="L11" s="217"/>
      <c r="M11" s="217"/>
    </row>
    <row r="12" spans="2:13" x14ac:dyDescent="0.3">
      <c r="B12" t="s">
        <v>5</v>
      </c>
    </row>
    <row r="13" spans="2:13" x14ac:dyDescent="0.3">
      <c r="B13" t="s">
        <v>6</v>
      </c>
    </row>
    <row r="14" spans="2:13" x14ac:dyDescent="0.3">
      <c r="B14" s="217" t="s">
        <v>7</v>
      </c>
      <c r="C14" s="217"/>
      <c r="D14" s="217"/>
      <c r="E14" s="217"/>
      <c r="F14" s="217"/>
      <c r="G14" s="217"/>
      <c r="H14" s="217"/>
      <c r="I14" s="217"/>
      <c r="J14" s="217"/>
      <c r="K14" s="217"/>
      <c r="L14" s="217"/>
      <c r="M14" s="217"/>
    </row>
    <row r="15" spans="2:13" x14ac:dyDescent="0.3">
      <c r="B15" s="217"/>
      <c r="C15" s="217"/>
      <c r="D15" s="217"/>
      <c r="E15" s="217"/>
      <c r="F15" s="217"/>
      <c r="G15" s="217"/>
      <c r="H15" s="217"/>
      <c r="I15" s="217"/>
      <c r="J15" s="217"/>
      <c r="K15" s="217"/>
      <c r="L15" s="217"/>
      <c r="M15" s="217"/>
    </row>
    <row r="16" spans="2:13" ht="13.9" customHeight="1" x14ac:dyDescent="0.3">
      <c r="B16" s="217" t="s">
        <v>8</v>
      </c>
      <c r="C16" s="217"/>
      <c r="D16" s="217"/>
      <c r="E16" s="217"/>
      <c r="F16" s="217"/>
      <c r="G16" s="217"/>
      <c r="H16" s="217"/>
      <c r="I16" s="217"/>
      <c r="J16" s="217"/>
      <c r="K16" s="217"/>
      <c r="L16" s="217"/>
      <c r="M16" s="217"/>
    </row>
    <row r="17" spans="2:13" x14ac:dyDescent="0.3">
      <c r="B17" s="217"/>
      <c r="C17" s="217"/>
      <c r="D17" s="217"/>
      <c r="E17" s="217"/>
      <c r="F17" s="217"/>
      <c r="G17" s="217"/>
      <c r="H17" s="217"/>
      <c r="I17" s="217"/>
      <c r="J17" s="217"/>
      <c r="K17" s="217"/>
      <c r="L17" s="217"/>
      <c r="M17" s="217"/>
    </row>
    <row r="18" spans="2:13" x14ac:dyDescent="0.3">
      <c r="B18" s="217"/>
      <c r="C18" s="217"/>
      <c r="D18" s="217"/>
      <c r="E18" s="217"/>
      <c r="F18" s="217"/>
      <c r="G18" s="217"/>
      <c r="H18" s="217"/>
      <c r="I18" s="217"/>
      <c r="J18" s="217"/>
      <c r="K18" s="217"/>
      <c r="L18" s="217"/>
      <c r="M18" s="217"/>
    </row>
    <row r="19" spans="2:13" x14ac:dyDescent="0.3">
      <c r="B19" s="217" t="s">
        <v>9</v>
      </c>
      <c r="C19" s="217"/>
      <c r="D19" s="217"/>
      <c r="E19" s="217"/>
      <c r="F19" s="217"/>
      <c r="G19" s="217"/>
      <c r="H19" s="217"/>
      <c r="I19" s="217"/>
      <c r="J19" s="217"/>
      <c r="K19" s="217"/>
      <c r="L19" s="217"/>
      <c r="M19" s="217"/>
    </row>
    <row r="20" spans="2:13" x14ac:dyDescent="0.3">
      <c r="B20" s="217"/>
      <c r="C20" s="217"/>
      <c r="D20" s="217"/>
      <c r="E20" s="217"/>
      <c r="F20" s="217"/>
      <c r="G20" s="217"/>
      <c r="H20" s="217"/>
      <c r="I20" s="217"/>
      <c r="J20" s="217"/>
      <c r="K20" s="217"/>
      <c r="L20" s="217"/>
      <c r="M20" s="217"/>
    </row>
    <row r="21" spans="2:13" x14ac:dyDescent="0.3">
      <c r="B21" s="109"/>
      <c r="C21" s="109"/>
      <c r="D21" s="109"/>
      <c r="E21" s="109"/>
      <c r="F21" s="109"/>
      <c r="G21" s="109"/>
      <c r="H21" s="109"/>
      <c r="I21" s="109"/>
      <c r="J21" s="109"/>
      <c r="K21" s="109"/>
      <c r="L21" s="109"/>
      <c r="M21" s="109"/>
    </row>
    <row r="22" spans="2:13" ht="13.9" customHeight="1" x14ac:dyDescent="0.3">
      <c r="B22" s="217" t="s">
        <v>10</v>
      </c>
      <c r="C22" s="217"/>
      <c r="D22" s="217"/>
      <c r="E22" s="217"/>
      <c r="F22" s="217"/>
      <c r="G22" s="217"/>
      <c r="H22" s="217"/>
      <c r="I22" s="217"/>
      <c r="J22" s="217"/>
      <c r="K22" s="217"/>
      <c r="L22" s="217"/>
      <c r="M22" s="217"/>
    </row>
    <row r="23" spans="2:13" ht="13.9" customHeight="1" x14ac:dyDescent="0.3">
      <c r="B23" s="217"/>
      <c r="C23" s="217"/>
      <c r="D23" s="217"/>
      <c r="E23" s="217"/>
      <c r="F23" s="217"/>
      <c r="G23" s="217"/>
      <c r="H23" s="217"/>
      <c r="I23" s="217"/>
      <c r="J23" s="217"/>
      <c r="K23" s="217"/>
      <c r="L23" s="217"/>
      <c r="M23" s="217"/>
    </row>
    <row r="24" spans="2:13" x14ac:dyDescent="0.3">
      <c r="B24" s="109"/>
      <c r="C24" s="109"/>
      <c r="D24" s="109"/>
      <c r="E24" s="109"/>
      <c r="F24" s="109"/>
      <c r="G24" s="109"/>
      <c r="H24" s="109"/>
      <c r="I24" s="109"/>
      <c r="J24" s="109"/>
      <c r="K24" s="109"/>
      <c r="L24" s="109"/>
      <c r="M24" s="109"/>
    </row>
    <row r="25" spans="2:13" x14ac:dyDescent="0.3">
      <c r="B25" s="110" t="s">
        <v>11</v>
      </c>
      <c r="C25" s="111">
        <v>2023</v>
      </c>
      <c r="D25" s="111">
        <v>2022</v>
      </c>
      <c r="E25" s="111">
        <v>2021</v>
      </c>
      <c r="F25" s="111">
        <v>2020</v>
      </c>
      <c r="G25" t="s">
        <v>12</v>
      </c>
      <c r="H25" s="109"/>
      <c r="I25" s="109"/>
      <c r="J25" s="109"/>
      <c r="K25" s="109"/>
      <c r="L25" s="109"/>
      <c r="M25" s="109"/>
    </row>
    <row r="26" spans="2:13" x14ac:dyDescent="0.3">
      <c r="B26" s="112" t="s">
        <v>13</v>
      </c>
      <c r="C26" s="113"/>
      <c r="D26" s="113"/>
      <c r="E26" s="113"/>
      <c r="F26" s="113"/>
      <c r="G26" s="109"/>
      <c r="H26" s="109"/>
      <c r="I26" s="109"/>
      <c r="J26" s="109"/>
      <c r="K26" s="109"/>
      <c r="L26" s="109"/>
      <c r="M26" s="109"/>
    </row>
    <row r="27" spans="2:13" x14ac:dyDescent="0.3">
      <c r="B27" s="114" t="s">
        <v>14</v>
      </c>
      <c r="C27" s="115">
        <v>0</v>
      </c>
      <c r="D27" s="115">
        <v>0</v>
      </c>
      <c r="E27" s="115">
        <v>0</v>
      </c>
      <c r="F27" s="115">
        <v>0</v>
      </c>
      <c r="G27" s="109"/>
      <c r="H27" s="109"/>
      <c r="I27" s="109"/>
      <c r="J27" s="109"/>
      <c r="K27" s="109"/>
      <c r="L27" s="109"/>
      <c r="M27" s="109"/>
    </row>
    <row r="28" spans="2:13" x14ac:dyDescent="0.3">
      <c r="B28" s="114" t="s">
        <v>15</v>
      </c>
      <c r="C28" s="116" t="e">
        <f>SUM(C29:C30)</f>
        <v>#REF!</v>
      </c>
      <c r="D28" s="115">
        <v>53</v>
      </c>
      <c r="E28" s="115">
        <v>47</v>
      </c>
      <c r="F28" s="115">
        <v>119</v>
      </c>
      <c r="G28" s="109"/>
      <c r="H28" s="109"/>
      <c r="I28" s="109"/>
      <c r="J28" s="109"/>
      <c r="K28" s="109"/>
      <c r="L28" s="109"/>
      <c r="M28" s="109"/>
    </row>
    <row r="29" spans="2:13" x14ac:dyDescent="0.3">
      <c r="B29" s="117" t="s">
        <v>16</v>
      </c>
      <c r="C29" s="116" t="e">
        <f>GETPIVOTDATA("Incident Number",'[2]2023_TD_Empleados'!$B$8)</f>
        <v>#REF!</v>
      </c>
      <c r="D29" s="115">
        <v>39</v>
      </c>
      <c r="E29" s="115">
        <v>40</v>
      </c>
      <c r="F29" s="115">
        <v>63</v>
      </c>
      <c r="G29" s="109"/>
      <c r="H29" s="118"/>
      <c r="I29" s="109"/>
      <c r="J29" s="109"/>
      <c r="K29" s="109"/>
      <c r="L29" s="109"/>
      <c r="M29" s="109"/>
    </row>
    <row r="30" spans="2:13" x14ac:dyDescent="0.3">
      <c r="B30" s="117" t="s">
        <v>17</v>
      </c>
      <c r="C30" s="116" t="e">
        <f>GETPIVOTDATA("Incident Number",'[2]2023_TD_Empleados'!$G$8)</f>
        <v>#REF!</v>
      </c>
      <c r="D30" s="115">
        <v>14</v>
      </c>
      <c r="E30" s="115">
        <v>7</v>
      </c>
      <c r="F30" s="115">
        <v>56</v>
      </c>
      <c r="G30" s="109"/>
      <c r="H30" s="119"/>
      <c r="I30" s="109"/>
      <c r="J30" s="109"/>
      <c r="K30" s="109"/>
      <c r="L30" s="109"/>
      <c r="M30" s="109"/>
    </row>
    <row r="31" spans="2:13" x14ac:dyDescent="0.3">
      <c r="B31" s="114" t="s">
        <v>18</v>
      </c>
      <c r="C31" s="115" t="e">
        <f>GETPIVOTDATA("Incident Number",'[2]2023_TD_Empleados'!$G$37)</f>
        <v>#REF!</v>
      </c>
      <c r="D31" s="115">
        <v>0</v>
      </c>
      <c r="E31" s="115">
        <v>0</v>
      </c>
      <c r="F31" s="115">
        <v>0</v>
      </c>
      <c r="G31" s="109"/>
      <c r="H31" s="109"/>
      <c r="I31" s="109"/>
      <c r="J31" s="109"/>
      <c r="K31" s="109"/>
      <c r="L31" s="109"/>
      <c r="M31" s="109"/>
    </row>
    <row r="32" spans="2:13" x14ac:dyDescent="0.3">
      <c r="B32" s="114" t="s">
        <v>19</v>
      </c>
      <c r="C32" s="116">
        <v>869</v>
      </c>
      <c r="D32" s="115">
        <v>437</v>
      </c>
      <c r="E32" s="115">
        <v>872</v>
      </c>
      <c r="F32" s="115">
        <v>1717</v>
      </c>
      <c r="H32" s="109"/>
      <c r="I32" s="109"/>
      <c r="J32" s="109"/>
      <c r="K32" s="109"/>
      <c r="L32" s="109"/>
      <c r="M32" s="109"/>
    </row>
    <row r="33" spans="2:13" x14ac:dyDescent="0.3">
      <c r="B33" s="114" t="s">
        <v>20</v>
      </c>
      <c r="C33" s="116">
        <v>18</v>
      </c>
      <c r="D33" s="115">
        <v>15</v>
      </c>
      <c r="E33" s="115">
        <v>8</v>
      </c>
      <c r="F33" s="115">
        <v>13</v>
      </c>
      <c r="H33" s="109"/>
      <c r="I33" s="109"/>
      <c r="J33" s="109"/>
      <c r="K33" s="109"/>
      <c r="L33" s="109"/>
      <c r="M33" s="109"/>
    </row>
    <row r="34" spans="2:13" x14ac:dyDescent="0.3">
      <c r="B34" s="112" t="s">
        <v>21</v>
      </c>
      <c r="C34" s="113"/>
      <c r="D34" s="113"/>
      <c r="E34" s="113"/>
      <c r="F34" s="113"/>
      <c r="H34" s="109"/>
      <c r="I34" s="109"/>
      <c r="J34" s="109"/>
      <c r="K34" s="109"/>
      <c r="L34" s="109"/>
      <c r="M34" s="109"/>
    </row>
    <row r="35" spans="2:13" x14ac:dyDescent="0.3">
      <c r="B35" s="114" t="s">
        <v>22</v>
      </c>
      <c r="C35" s="120" t="e">
        <f>((C28+C44)/(C128+C133))*1000000</f>
        <v>#REF!</v>
      </c>
      <c r="D35" s="120">
        <f>((D28+D44)/(D128+D133))*1000000</f>
        <v>4.4361701430231104</v>
      </c>
      <c r="E35" s="120">
        <f t="shared" ref="E35:F35" si="0">(E28/E128)*1000000</f>
        <v>3.8349288368452199</v>
      </c>
      <c r="F35" s="120">
        <f t="shared" si="0"/>
        <v>15.279152991210362</v>
      </c>
      <c r="H35" s="109"/>
      <c r="I35" s="109"/>
      <c r="J35" s="109"/>
      <c r="K35" s="109"/>
      <c r="L35" s="109"/>
      <c r="M35" s="109"/>
    </row>
    <row r="36" spans="2:13" x14ac:dyDescent="0.3">
      <c r="B36" s="114" t="s">
        <v>23</v>
      </c>
      <c r="C36" s="120" t="e">
        <f>((C28+C44)/(C128+C133))*200000</f>
        <v>#REF!</v>
      </c>
      <c r="D36" s="120">
        <f>((D28+D44)/(D128+D133))*200000</f>
        <v>0.88723402860462208</v>
      </c>
      <c r="E36" s="120">
        <f>(E28/E128)*200000</f>
        <v>0.766985767369044</v>
      </c>
      <c r="F36" s="120">
        <f>(F28/F128)*200000</f>
        <v>3.0558305982420726</v>
      </c>
      <c r="H36" s="109"/>
      <c r="I36" s="109"/>
      <c r="J36" s="109"/>
      <c r="K36" s="109"/>
      <c r="L36" s="109"/>
      <c r="M36" s="109"/>
    </row>
    <row r="37" spans="2:13" x14ac:dyDescent="0.3">
      <c r="B37" s="114" t="s">
        <v>24</v>
      </c>
      <c r="C37" s="121" t="e">
        <f>((C29+C45)*1000000)/(C128+C133)</f>
        <v>#REF!</v>
      </c>
      <c r="D37" s="121">
        <f>((D29+D45)*1000000)/(D128+D133)</f>
        <v>3.0498669733283883</v>
      </c>
      <c r="E37" s="121">
        <f t="shared" ref="E37:F37" si="1">(E29*1000000)/E128</f>
        <v>3.2637692228469959</v>
      </c>
      <c r="F37" s="121">
        <f t="shared" si="1"/>
        <v>8.0889633482878391</v>
      </c>
      <c r="H37" s="109"/>
      <c r="I37" s="109"/>
      <c r="J37" s="109"/>
      <c r="K37" s="109"/>
      <c r="M37" s="109"/>
    </row>
    <row r="38" spans="2:13" x14ac:dyDescent="0.3">
      <c r="B38" s="114" t="s">
        <v>25</v>
      </c>
      <c r="C38" s="121" t="e">
        <f>((C29+C45)*200000)/(C128+C133)</f>
        <v>#REF!</v>
      </c>
      <c r="D38" s="121">
        <f>((D29+D45)*200000)/(D128+D133)</f>
        <v>0.60997339466567768</v>
      </c>
      <c r="E38" s="121">
        <f t="shared" ref="E38:F38" si="2">(E29*200000)/E128</f>
        <v>0.65275384456939911</v>
      </c>
      <c r="F38" s="121">
        <f t="shared" si="2"/>
        <v>1.6177926696575677</v>
      </c>
      <c r="H38" s="109"/>
      <c r="I38" s="109"/>
      <c r="J38" s="109"/>
      <c r="K38" s="109"/>
      <c r="L38" s="122"/>
      <c r="M38" s="109"/>
    </row>
    <row r="39" spans="2:13" x14ac:dyDescent="0.3">
      <c r="B39" s="114" t="s">
        <v>26</v>
      </c>
      <c r="C39" s="121" t="e">
        <f>((C32+C48)*1000)/(C128+C133)</f>
        <v>#REF!</v>
      </c>
      <c r="D39" s="121">
        <f t="shared" ref="D39:F39" si="3">((D32+D48)*1000)/(D128+D133)</f>
        <v>3.2439494170856495E-2</v>
      </c>
      <c r="E39" s="121">
        <f t="shared" si="3"/>
        <v>7.7799115321396051E-2</v>
      </c>
      <c r="F39" s="121">
        <f t="shared" si="3"/>
        <v>0.20980176635211228</v>
      </c>
      <c r="H39" s="109"/>
      <c r="I39" s="109"/>
      <c r="J39" s="109"/>
      <c r="K39" s="109"/>
      <c r="L39" s="109"/>
      <c r="M39" s="109"/>
    </row>
    <row r="40" spans="2:13" x14ac:dyDescent="0.3">
      <c r="B40" s="123"/>
      <c r="C40" s="109"/>
      <c r="D40" s="109"/>
      <c r="E40" s="109"/>
      <c r="F40" s="109"/>
      <c r="G40" s="109"/>
      <c r="H40" s="109"/>
      <c r="I40" s="109"/>
      <c r="J40" s="109"/>
      <c r="K40" s="109"/>
      <c r="L40" s="109"/>
      <c r="M40" s="109"/>
    </row>
    <row r="41" spans="2:13" x14ac:dyDescent="0.3">
      <c r="B41" s="110" t="s">
        <v>27</v>
      </c>
      <c r="C41" s="111">
        <v>2023</v>
      </c>
      <c r="D41" s="111">
        <v>2022</v>
      </c>
      <c r="E41" s="111">
        <v>2021</v>
      </c>
      <c r="F41" s="111">
        <v>2020</v>
      </c>
      <c r="G41" s="109"/>
      <c r="H41" s="109"/>
      <c r="I41" s="109"/>
      <c r="J41" s="109"/>
      <c r="K41" s="109"/>
      <c r="L41" s="109"/>
      <c r="M41" s="109"/>
    </row>
    <row r="42" spans="2:13" x14ac:dyDescent="0.3">
      <c r="B42" s="112" t="s">
        <v>13</v>
      </c>
      <c r="C42" s="112"/>
      <c r="D42" s="112"/>
      <c r="E42" s="112"/>
      <c r="F42" s="112"/>
      <c r="G42" s="109"/>
    </row>
    <row r="43" spans="2:13" x14ac:dyDescent="0.3">
      <c r="B43" s="114" t="s">
        <v>14</v>
      </c>
      <c r="C43" s="115">
        <v>0</v>
      </c>
      <c r="D43" s="115">
        <v>0</v>
      </c>
      <c r="E43" s="115">
        <v>0</v>
      </c>
      <c r="F43" s="115">
        <v>0</v>
      </c>
      <c r="G43" s="109"/>
    </row>
    <row r="44" spans="2:13" x14ac:dyDescent="0.3">
      <c r="B44" s="114" t="s">
        <v>15</v>
      </c>
      <c r="C44" s="115">
        <v>6</v>
      </c>
      <c r="D44" s="115">
        <v>11</v>
      </c>
      <c r="E44" s="115">
        <v>12</v>
      </c>
      <c r="F44" s="115">
        <v>12</v>
      </c>
      <c r="G44" s="109"/>
    </row>
    <row r="45" spans="2:13" x14ac:dyDescent="0.3">
      <c r="B45" s="117" t="s">
        <v>16</v>
      </c>
      <c r="C45" s="115" t="e">
        <f>GETPIVOTDATA("Incident Number",'[2]2023_TD_Externos'!$B$8)</f>
        <v>#REF!</v>
      </c>
      <c r="D45" s="115">
        <v>5</v>
      </c>
      <c r="E45" s="115">
        <v>12</v>
      </c>
      <c r="F45" s="115">
        <v>12</v>
      </c>
      <c r="G45" s="109"/>
    </row>
    <row r="46" spans="2:13" x14ac:dyDescent="0.3">
      <c r="B46" s="117" t="s">
        <v>17</v>
      </c>
      <c r="C46" s="115" t="e">
        <f>GETPIVOTDATA("Incident Number",'[2]2023_TD_Externos'!$G$8)</f>
        <v>#REF!</v>
      </c>
      <c r="D46" s="115">
        <v>6</v>
      </c>
      <c r="E46" s="115">
        <v>0</v>
      </c>
      <c r="F46" s="115">
        <v>0</v>
      </c>
      <c r="G46" s="109"/>
    </row>
    <row r="47" spans="2:13" x14ac:dyDescent="0.3">
      <c r="B47" s="114" t="s">
        <v>18</v>
      </c>
      <c r="C47" s="115" t="e">
        <f>GETPIVOTDATA("Incident Number",'[2]2023_TD_Externos'!$G$19)</f>
        <v>#REF!</v>
      </c>
      <c r="D47" s="115">
        <v>0</v>
      </c>
      <c r="E47" s="115">
        <v>0</v>
      </c>
      <c r="F47" s="115">
        <v>0</v>
      </c>
    </row>
    <row r="48" spans="2:13" x14ac:dyDescent="0.3">
      <c r="B48" s="114" t="s">
        <v>19</v>
      </c>
      <c r="C48" s="115" t="e">
        <f>GETPIVOTDATA("Number of Days",'[2]2023_TD_Externos'!$O$7)</f>
        <v>#REF!</v>
      </c>
      <c r="D48" s="115">
        <v>31</v>
      </c>
      <c r="E48" s="115">
        <v>195</v>
      </c>
      <c r="F48" s="124"/>
    </row>
    <row r="49" spans="2:9" x14ac:dyDescent="0.3">
      <c r="B49" s="114" t="s">
        <v>20</v>
      </c>
      <c r="C49" s="115" t="e">
        <f>GETPIVOTDATA("Incident Number",'[2]2023_TD_Externos'!$K$30)</f>
        <v>#REF!</v>
      </c>
      <c r="D49" s="115">
        <v>1</v>
      </c>
      <c r="E49" s="115">
        <v>2</v>
      </c>
      <c r="F49" s="115">
        <v>1</v>
      </c>
    </row>
    <row r="50" spans="2:9" x14ac:dyDescent="0.3">
      <c r="B50" s="112" t="s">
        <v>21</v>
      </c>
      <c r="C50" s="113"/>
      <c r="D50" s="113"/>
      <c r="E50" s="113"/>
      <c r="F50" s="113"/>
    </row>
    <row r="51" spans="2:9" x14ac:dyDescent="0.3">
      <c r="B51" s="114" t="s">
        <v>22</v>
      </c>
      <c r="C51" s="120">
        <f>(C44/C133)*1000000</f>
        <v>18.371827415053261</v>
      </c>
      <c r="D51" s="120">
        <f t="shared" ref="D51:F51" si="4">(D44/D133)*1000000</f>
        <v>11.055762057647778</v>
      </c>
      <c r="E51" s="120">
        <f t="shared" si="4"/>
        <v>8.2245836616370092</v>
      </c>
      <c r="F51" s="120">
        <f t="shared" si="4"/>
        <v>30.339345580315833</v>
      </c>
    </row>
    <row r="52" spans="2:9" x14ac:dyDescent="0.3">
      <c r="B52" s="114" t="s">
        <v>23</v>
      </c>
      <c r="C52" s="120">
        <f>(C44/C133)*200000</f>
        <v>3.6743654830106522</v>
      </c>
      <c r="D52" s="120">
        <f>(D44/D133)*200000</f>
        <v>2.2111524115295556</v>
      </c>
      <c r="E52" s="120">
        <f>(E44/E133)*200000</f>
        <v>1.6449167323274019</v>
      </c>
      <c r="F52" s="120">
        <f>(F44/F133)*200000</f>
        <v>6.067869116063167</v>
      </c>
    </row>
    <row r="53" spans="2:9" x14ac:dyDescent="0.3">
      <c r="B53" s="114" t="s">
        <v>24</v>
      </c>
      <c r="C53" s="121" t="e">
        <f>(C45*1000000)/C133</f>
        <v>#REF!</v>
      </c>
      <c r="D53" s="121">
        <f t="shared" ref="D53:F53" si="5">(D45*1000000)/D133</f>
        <v>5.0253463898398989</v>
      </c>
      <c r="E53" s="121">
        <f t="shared" si="5"/>
        <v>8.2245836616370092</v>
      </c>
      <c r="F53" s="121">
        <f t="shared" si="5"/>
        <v>30.339345580315833</v>
      </c>
    </row>
    <row r="54" spans="2:9" x14ac:dyDescent="0.3">
      <c r="B54" s="114" t="s">
        <v>25</v>
      </c>
      <c r="C54" s="121" t="e">
        <f>(C45*200000)/C133</f>
        <v>#REF!</v>
      </c>
      <c r="D54" s="121">
        <f t="shared" ref="D54:F54" si="6">(D45*200000)/D133</f>
        <v>1.0050692779679797</v>
      </c>
      <c r="E54" s="121">
        <f t="shared" si="6"/>
        <v>1.6449167323274019</v>
      </c>
      <c r="F54" s="121">
        <f t="shared" si="6"/>
        <v>6.0678691160631661</v>
      </c>
    </row>
    <row r="55" spans="2:9" x14ac:dyDescent="0.3">
      <c r="B55" s="114" t="s">
        <v>26</v>
      </c>
      <c r="C55" s="121" t="e">
        <f>(C48*1000)/C133</f>
        <v>#REF!</v>
      </c>
      <c r="D55" s="121">
        <f>(D48*1000)/D133</f>
        <v>3.1157147617007375E-2</v>
      </c>
      <c r="E55" s="121">
        <f>(E48*1000)/E133</f>
        <v>0.13364948450160141</v>
      </c>
      <c r="F55" s="125">
        <f>(F48*1000)/F133</f>
        <v>0</v>
      </c>
    </row>
    <row r="58" spans="2:9" x14ac:dyDescent="0.3">
      <c r="B58" s="126" t="s">
        <v>28</v>
      </c>
    </row>
    <row r="59" spans="2:9" ht="14.5" thickBot="1" x14ac:dyDescent="0.35"/>
    <row r="60" spans="2:9" x14ac:dyDescent="0.3">
      <c r="B60" s="127" t="s">
        <v>29</v>
      </c>
      <c r="C60" s="218">
        <v>2023</v>
      </c>
      <c r="D60" s="218"/>
      <c r="E60" s="219"/>
      <c r="G60" s="220">
        <v>2022</v>
      </c>
      <c r="H60" s="218"/>
      <c r="I60" s="219"/>
    </row>
    <row r="61" spans="2:9" ht="15.5" x14ac:dyDescent="0.3">
      <c r="B61" s="128"/>
      <c r="C61" s="111" t="s">
        <v>30</v>
      </c>
      <c r="D61" s="111" t="s">
        <v>31</v>
      </c>
      <c r="E61" s="111" t="s">
        <v>32</v>
      </c>
      <c r="G61" s="111" t="s">
        <v>30</v>
      </c>
      <c r="H61" s="111" t="s">
        <v>31</v>
      </c>
      <c r="I61" s="111" t="s">
        <v>32</v>
      </c>
    </row>
    <row r="62" spans="2:9" x14ac:dyDescent="0.3">
      <c r="B62" s="129" t="s">
        <v>33</v>
      </c>
      <c r="C62" s="130">
        <v>0</v>
      </c>
      <c r="D62" s="130">
        <v>0</v>
      </c>
      <c r="E62" s="130">
        <v>0</v>
      </c>
      <c r="F62" s="12"/>
      <c r="G62" s="130">
        <v>0</v>
      </c>
      <c r="H62" s="130">
        <v>0</v>
      </c>
      <c r="I62" s="130">
        <v>0</v>
      </c>
    </row>
    <row r="63" spans="2:9" x14ac:dyDescent="0.3">
      <c r="B63" s="129" t="s">
        <v>34</v>
      </c>
      <c r="C63" s="130" t="e">
        <f>SUM(C64:C65)</f>
        <v>#REF!</v>
      </c>
      <c r="D63" s="130" t="e">
        <f>SUM(D64:D65)</f>
        <v>#REF!</v>
      </c>
      <c r="E63" s="130" t="e">
        <f t="shared" ref="E63" si="7">SUM(E64:E65)</f>
        <v>#REF!</v>
      </c>
      <c r="F63" s="12"/>
      <c r="G63" s="130">
        <v>38</v>
      </c>
      <c r="H63" s="130">
        <v>15</v>
      </c>
      <c r="I63" s="130">
        <v>53</v>
      </c>
    </row>
    <row r="64" spans="2:9" x14ac:dyDescent="0.3">
      <c r="B64" s="114" t="s">
        <v>35</v>
      </c>
      <c r="C64" s="115" t="e">
        <f>GETPIVOTDATA("Incident Number",'[2]2023_TD_Empleados'!$B$8,"Gender","Male")</f>
        <v>#REF!</v>
      </c>
      <c r="D64" s="115" t="e">
        <f>GETPIVOTDATA("Incident Number",'[2]2023_TD_Empleados'!$B$8,"Gender","Female")</f>
        <v>#REF!</v>
      </c>
      <c r="E64" s="115" t="e">
        <f>GETPIVOTDATA("Incident Number",'[2]2023_TD_Empleados'!$B$8)</f>
        <v>#REF!</v>
      </c>
      <c r="F64" s="7"/>
      <c r="G64" s="115">
        <v>26</v>
      </c>
      <c r="H64" s="115">
        <v>13</v>
      </c>
      <c r="I64" s="115">
        <v>39</v>
      </c>
    </row>
    <row r="65" spans="2:9" x14ac:dyDescent="0.3">
      <c r="B65" s="114" t="s">
        <v>36</v>
      </c>
      <c r="C65" s="115" t="e">
        <f>GETPIVOTDATA("Incident Number",'[2]2023_TD_Empleados'!$G$8,"Gender","Male")</f>
        <v>#REF!</v>
      </c>
      <c r="D65" s="115" t="e">
        <f>GETPIVOTDATA("Incident Number",'[2]2023_TD_Empleados'!$G$8,"Gender","Female")</f>
        <v>#REF!</v>
      </c>
      <c r="E65" s="115" t="e">
        <f>GETPIVOTDATA("Incident Number",'[2]2023_TD_Empleados'!$G$8)</f>
        <v>#REF!</v>
      </c>
      <c r="F65" s="7"/>
      <c r="G65" s="115">
        <v>12</v>
      </c>
      <c r="H65" s="115">
        <v>2</v>
      </c>
      <c r="I65" s="115">
        <v>14</v>
      </c>
    </row>
    <row r="66" spans="2:9" x14ac:dyDescent="0.3">
      <c r="B66" s="129" t="s">
        <v>37</v>
      </c>
      <c r="C66" s="130" t="e">
        <f>SUM(C67:C68)</f>
        <v>#REF!</v>
      </c>
      <c r="D66" s="130" t="e">
        <f>SUM(D67:D68)</f>
        <v>#REF!</v>
      </c>
      <c r="E66" s="130" t="e">
        <f t="shared" ref="E66" si="8">SUM(E67:E68)</f>
        <v>#REF!</v>
      </c>
      <c r="F66" s="12"/>
      <c r="G66" s="130">
        <v>12</v>
      </c>
      <c r="H66" s="130">
        <v>3</v>
      </c>
      <c r="I66" s="130">
        <v>15</v>
      </c>
    </row>
    <row r="67" spans="2:9" x14ac:dyDescent="0.3">
      <c r="B67" s="114" t="s">
        <v>35</v>
      </c>
      <c r="C67" s="115" t="e">
        <f>GETPIVOTDATA("Incident Number",'[2]2023_TD_Empleados'!$L$8,"Gender","Male")</f>
        <v>#REF!</v>
      </c>
      <c r="D67" s="115" t="e">
        <f>GETPIVOTDATA("Incident Number",'[2]2023_TD_Empleados'!$L$8,"Gender","Female")</f>
        <v>#REF!</v>
      </c>
      <c r="E67" s="115" t="e">
        <f>GETPIVOTDATA("Incident Number",'[2]2023_TD_Empleados'!$L$8)</f>
        <v>#REF!</v>
      </c>
      <c r="F67" s="7"/>
      <c r="G67" s="115">
        <v>7</v>
      </c>
      <c r="H67" s="115">
        <v>1</v>
      </c>
      <c r="I67" s="115">
        <v>8</v>
      </c>
    </row>
    <row r="68" spans="2:9" x14ac:dyDescent="0.3">
      <c r="B68" s="114" t="s">
        <v>36</v>
      </c>
      <c r="C68" s="115" t="e">
        <f>GETPIVOTDATA("Incident Number",'[2]2023_TD_Empleados'!$L$30,"Gender","Male")</f>
        <v>#REF!</v>
      </c>
      <c r="D68" s="115" t="e">
        <f>GETPIVOTDATA("Incident Number",'[2]2023_TD_Empleados'!$L$30,"Gender","Female")</f>
        <v>#REF!</v>
      </c>
      <c r="E68" s="115" t="e">
        <f>GETPIVOTDATA("Incident Number",'[2]2023_TD_Empleados'!$L$30)</f>
        <v>#REF!</v>
      </c>
      <c r="F68" s="7"/>
      <c r="G68" s="115">
        <v>5</v>
      </c>
      <c r="H68" s="115">
        <v>2</v>
      </c>
      <c r="I68" s="115">
        <v>7</v>
      </c>
    </row>
    <row r="69" spans="2:9" x14ac:dyDescent="0.3">
      <c r="B69" s="129" t="s">
        <v>38</v>
      </c>
      <c r="C69" s="130">
        <v>0</v>
      </c>
      <c r="D69" s="130" t="e">
        <f>GETPIVOTDATA("Incident Number",'[2]2023_TD_Empleados'!$G$37,"Gender","Female")</f>
        <v>#REF!</v>
      </c>
      <c r="E69" s="130" t="e">
        <f>GETPIVOTDATA("Incident Number",'[2]2023_TD_Empleados'!$G$37)</f>
        <v>#REF!</v>
      </c>
      <c r="F69" s="12"/>
      <c r="G69" s="130">
        <v>0</v>
      </c>
      <c r="H69" s="130">
        <v>0</v>
      </c>
      <c r="I69" s="130">
        <v>0</v>
      </c>
    </row>
    <row r="70" spans="2:9" ht="14.5" thickBot="1" x14ac:dyDescent="0.35"/>
    <row r="71" spans="2:9" x14ac:dyDescent="0.3">
      <c r="B71" s="127" t="s">
        <v>39</v>
      </c>
      <c r="C71" s="218">
        <v>2023</v>
      </c>
      <c r="D71" s="218"/>
      <c r="E71" s="219"/>
      <c r="G71" s="220">
        <v>2022</v>
      </c>
      <c r="H71" s="218"/>
      <c r="I71" s="219"/>
    </row>
    <row r="72" spans="2:9" ht="15.5" x14ac:dyDescent="0.3">
      <c r="B72" s="128"/>
      <c r="C72" s="111" t="s">
        <v>30</v>
      </c>
      <c r="D72" s="111" t="s">
        <v>31</v>
      </c>
      <c r="E72" s="111" t="s">
        <v>32</v>
      </c>
      <c r="G72" s="111" t="s">
        <v>30</v>
      </c>
      <c r="H72" s="111" t="s">
        <v>31</v>
      </c>
      <c r="I72" s="111" t="s">
        <v>32</v>
      </c>
    </row>
    <row r="73" spans="2:9" x14ac:dyDescent="0.3">
      <c r="B73" s="131" t="s">
        <v>22</v>
      </c>
      <c r="C73" s="121" t="e">
        <f>(C63/C129)*1000000</f>
        <v>#REF!</v>
      </c>
      <c r="D73" s="121" t="e">
        <f>(D63/C130)*1000000</f>
        <v>#REF!</v>
      </c>
      <c r="E73" s="121" t="e">
        <f>C35</f>
        <v>#REF!</v>
      </c>
      <c r="F73" s="7"/>
      <c r="G73" s="121">
        <f>(G63/D129)*1000000</f>
        <v>4.3666534980654443</v>
      </c>
      <c r="H73" s="121">
        <f>(H63/D130)*1000000</f>
        <v>3.1715248623667636</v>
      </c>
      <c r="I73" s="121">
        <f>D35</f>
        <v>4.4361701430231104</v>
      </c>
    </row>
    <row r="74" spans="2:9" x14ac:dyDescent="0.3">
      <c r="B74" s="131" t="s">
        <v>23</v>
      </c>
      <c r="C74" s="121" t="e">
        <f>(C63/C129)*200000</f>
        <v>#REF!</v>
      </c>
      <c r="D74" s="121" t="e">
        <f>(D63/C130)*200000</f>
        <v>#REF!</v>
      </c>
      <c r="E74" s="121" t="e">
        <f>C36</f>
        <v>#REF!</v>
      </c>
      <c r="F74" s="7"/>
      <c r="G74" s="121">
        <f>(G63/D129)*200000</f>
        <v>0.87333069961308885</v>
      </c>
      <c r="H74" s="121">
        <f>(H63/D130)*200000</f>
        <v>0.63430497247335271</v>
      </c>
      <c r="I74" s="121">
        <f t="shared" ref="I74:I77" si="9">D36</f>
        <v>0.88723402860462208</v>
      </c>
    </row>
    <row r="75" spans="2:9" x14ac:dyDescent="0.3">
      <c r="B75" s="131" t="s">
        <v>24</v>
      </c>
      <c r="C75" s="121" t="e">
        <f>(C64*1000000)/C129</f>
        <v>#REF!</v>
      </c>
      <c r="D75" s="121" t="e">
        <f>(D64*1000000)/C130</f>
        <v>#REF!</v>
      </c>
      <c r="E75" s="121" t="e">
        <f t="shared" ref="E75:E77" si="10">C37</f>
        <v>#REF!</v>
      </c>
      <c r="F75" s="7"/>
      <c r="G75" s="121">
        <f>(G64*1000000)/D129</f>
        <v>2.9877102881500406</v>
      </c>
      <c r="H75" s="121">
        <f>(H64*1000000)/D130</f>
        <v>2.7486548807178615</v>
      </c>
      <c r="I75" s="121">
        <f t="shared" si="9"/>
        <v>3.0498669733283883</v>
      </c>
    </row>
    <row r="76" spans="2:9" x14ac:dyDescent="0.3">
      <c r="B76" s="131" t="s">
        <v>25</v>
      </c>
      <c r="C76" s="121" t="e">
        <f>(C64*200000)/C129</f>
        <v>#REF!</v>
      </c>
      <c r="D76" s="121" t="e">
        <f>(D64*200000)/C130</f>
        <v>#REF!</v>
      </c>
      <c r="E76" s="121" t="e">
        <f t="shared" si="10"/>
        <v>#REF!</v>
      </c>
      <c r="F76" s="7"/>
      <c r="G76" s="121">
        <f>(G64*200000)/D129</f>
        <v>0.59754205763000812</v>
      </c>
      <c r="H76" s="121">
        <f>(H64*200000)/D130</f>
        <v>0.54973097614357236</v>
      </c>
      <c r="I76" s="121">
        <f t="shared" si="9"/>
        <v>0.60997339466567768</v>
      </c>
    </row>
    <row r="77" spans="2:9" x14ac:dyDescent="0.3">
      <c r="B77" s="131" t="s">
        <v>26</v>
      </c>
      <c r="C77" s="121" t="e">
        <f>(GETPIVOTDATA("Number of Days",'[2]2023_TD_Empleados'!$Q$7,"Gender","Male")*1000)/C129</f>
        <v>#REF!</v>
      </c>
      <c r="D77" s="121" t="e">
        <f>(GETPIVOTDATA("Number of Days",'[2]2023_TD_Empleados'!$Q$7,"Gender","Female")*1000)/C130</f>
        <v>#REF!</v>
      </c>
      <c r="E77" s="121" t="e">
        <f t="shared" si="10"/>
        <v>#REF!</v>
      </c>
      <c r="F77" s="7"/>
      <c r="G77" s="121">
        <f>(315*1000)/D129</f>
        <v>3.6197259260279335E-2</v>
      </c>
      <c r="H77" s="121">
        <f>(122*1000)/D130</f>
        <v>2.579506888058301E-2</v>
      </c>
      <c r="I77" s="121">
        <f t="shared" si="9"/>
        <v>3.2439494170856495E-2</v>
      </c>
    </row>
    <row r="79" spans="2:9" ht="14.5" thickBot="1" x14ac:dyDescent="0.35"/>
    <row r="80" spans="2:9" x14ac:dyDescent="0.3">
      <c r="B80" s="127" t="s">
        <v>40</v>
      </c>
      <c r="C80" s="218">
        <v>2023</v>
      </c>
      <c r="D80" s="218"/>
      <c r="E80" s="219"/>
      <c r="G80" s="220">
        <v>2022</v>
      </c>
      <c r="H80" s="218"/>
      <c r="I80" s="219"/>
    </row>
    <row r="81" spans="2:9" ht="15.5" x14ac:dyDescent="0.3">
      <c r="B81" s="128"/>
      <c r="C81" s="111" t="s">
        <v>30</v>
      </c>
      <c r="D81" s="111" t="s">
        <v>31</v>
      </c>
      <c r="E81" s="111" t="s">
        <v>32</v>
      </c>
      <c r="G81" s="111" t="s">
        <v>30</v>
      </c>
      <c r="H81" s="111" t="s">
        <v>31</v>
      </c>
      <c r="I81" s="111" t="s">
        <v>32</v>
      </c>
    </row>
    <row r="82" spans="2:9" x14ac:dyDescent="0.3">
      <c r="B82" s="129" t="s">
        <v>33</v>
      </c>
      <c r="C82" s="130">
        <v>0</v>
      </c>
      <c r="D82" s="130">
        <v>0</v>
      </c>
      <c r="E82" s="130">
        <v>0</v>
      </c>
      <c r="F82" s="12"/>
      <c r="G82" s="130">
        <v>0</v>
      </c>
      <c r="H82" s="130">
        <v>0</v>
      </c>
      <c r="I82" s="130">
        <v>0</v>
      </c>
    </row>
    <row r="83" spans="2:9" x14ac:dyDescent="0.3">
      <c r="B83" s="129" t="s">
        <v>34</v>
      </c>
      <c r="C83" s="130">
        <v>5</v>
      </c>
      <c r="D83" s="130">
        <v>1</v>
      </c>
      <c r="E83" s="130">
        <v>6</v>
      </c>
      <c r="F83" s="12"/>
      <c r="G83" s="130">
        <v>7</v>
      </c>
      <c r="H83" s="130">
        <v>4</v>
      </c>
      <c r="I83" s="130">
        <v>11</v>
      </c>
    </row>
    <row r="84" spans="2:9" x14ac:dyDescent="0.3">
      <c r="B84" s="114" t="s">
        <v>35</v>
      </c>
      <c r="C84" s="115">
        <v>3</v>
      </c>
      <c r="D84" s="115">
        <v>1</v>
      </c>
      <c r="E84" s="115">
        <v>4</v>
      </c>
      <c r="F84" s="7"/>
      <c r="G84" s="115">
        <v>3</v>
      </c>
      <c r="H84" s="115">
        <v>2</v>
      </c>
      <c r="I84" s="115">
        <v>5</v>
      </c>
    </row>
    <row r="85" spans="2:9" x14ac:dyDescent="0.3">
      <c r="B85" s="114" t="s">
        <v>36</v>
      </c>
      <c r="C85" s="115">
        <v>2</v>
      </c>
      <c r="D85" s="115">
        <v>0</v>
      </c>
      <c r="E85" s="115">
        <v>2</v>
      </c>
      <c r="F85" s="7"/>
      <c r="G85" s="115">
        <v>4</v>
      </c>
      <c r="H85" s="115">
        <v>2</v>
      </c>
      <c r="I85" s="115">
        <v>6</v>
      </c>
    </row>
    <row r="86" spans="2:9" x14ac:dyDescent="0.3">
      <c r="B86" s="129" t="s">
        <v>37</v>
      </c>
      <c r="C86" s="130">
        <v>1</v>
      </c>
      <c r="D86" s="130">
        <v>0</v>
      </c>
      <c r="E86" s="130">
        <v>1</v>
      </c>
      <c r="F86" s="12"/>
      <c r="G86" s="130">
        <v>1</v>
      </c>
      <c r="H86" s="130">
        <v>0</v>
      </c>
      <c r="I86" s="130">
        <v>1</v>
      </c>
    </row>
    <row r="87" spans="2:9" x14ac:dyDescent="0.3">
      <c r="B87" s="114" t="s">
        <v>35</v>
      </c>
      <c r="C87" s="115">
        <v>0</v>
      </c>
      <c r="D87" s="115">
        <v>0</v>
      </c>
      <c r="E87" s="115">
        <v>0</v>
      </c>
      <c r="F87" s="7"/>
      <c r="G87" s="115">
        <v>0</v>
      </c>
      <c r="H87" s="115">
        <v>0</v>
      </c>
      <c r="I87" s="115">
        <v>0</v>
      </c>
    </row>
    <row r="88" spans="2:9" x14ac:dyDescent="0.3">
      <c r="B88" s="114" t="s">
        <v>36</v>
      </c>
      <c r="C88" s="115">
        <v>1</v>
      </c>
      <c r="D88" s="115">
        <v>0</v>
      </c>
      <c r="E88" s="115">
        <v>1</v>
      </c>
      <c r="F88" s="7"/>
      <c r="G88" s="115">
        <v>1</v>
      </c>
      <c r="H88" s="115">
        <v>0</v>
      </c>
      <c r="I88" s="115">
        <v>1</v>
      </c>
    </row>
    <row r="90" spans="2:9" ht="14.5" thickBot="1" x14ac:dyDescent="0.35"/>
    <row r="91" spans="2:9" x14ac:dyDescent="0.3">
      <c r="B91" s="127" t="s">
        <v>41</v>
      </c>
      <c r="C91" s="218">
        <v>2023</v>
      </c>
      <c r="D91" s="218"/>
      <c r="E91" s="219"/>
      <c r="G91" s="220">
        <v>2022</v>
      </c>
      <c r="H91" s="218"/>
      <c r="I91" s="219"/>
    </row>
    <row r="92" spans="2:9" ht="15.5" x14ac:dyDescent="0.3">
      <c r="B92" s="128"/>
      <c r="C92" s="111" t="s">
        <v>30</v>
      </c>
      <c r="D92" s="111" t="s">
        <v>31</v>
      </c>
      <c r="E92" s="111" t="s">
        <v>32</v>
      </c>
      <c r="G92" s="111" t="s">
        <v>30</v>
      </c>
      <c r="H92" s="111" t="s">
        <v>31</v>
      </c>
      <c r="I92" s="111" t="s">
        <v>32</v>
      </c>
    </row>
    <row r="93" spans="2:9" x14ac:dyDescent="0.3">
      <c r="B93" s="131" t="s">
        <v>22</v>
      </c>
      <c r="C93" s="121">
        <f>(C83/C134)*1000000</f>
        <v>21.730202156070657</v>
      </c>
      <c r="D93" s="121">
        <f>(D83/C135)*1000000</f>
        <v>10.363499753866881</v>
      </c>
      <c r="E93" s="121">
        <f>C51</f>
        <v>18.371827415053261</v>
      </c>
      <c r="F93" s="7"/>
      <c r="G93" s="121">
        <f>(G83/D134)*1000000</f>
        <v>11.703816530972061</v>
      </c>
      <c r="H93" s="121">
        <f>(H83/D135)*1000000</f>
        <v>10.079101036915235</v>
      </c>
      <c r="I93" s="121">
        <f>D51</f>
        <v>11.055762057647778</v>
      </c>
    </row>
    <row r="94" spans="2:9" x14ac:dyDescent="0.3">
      <c r="B94" s="131" t="s">
        <v>23</v>
      </c>
      <c r="C94" s="121">
        <f>(C83/C134)*200000</f>
        <v>4.3460404312141314</v>
      </c>
      <c r="D94" s="121">
        <f>(D83/C135)*200000</f>
        <v>2.0726999507733761</v>
      </c>
      <c r="E94" s="121">
        <f t="shared" ref="E94:E97" si="11">C52</f>
        <v>3.6743654830106522</v>
      </c>
      <c r="F94" s="7"/>
      <c r="G94" s="121">
        <f>(G83/D134)*200000</f>
        <v>2.3407633061944124</v>
      </c>
      <c r="H94" s="121">
        <f>(H83/D135)*200000</f>
        <v>2.0158202073830469</v>
      </c>
      <c r="I94" s="121">
        <f t="shared" ref="I94:I97" si="12">D52</f>
        <v>2.2111524115295556</v>
      </c>
    </row>
    <row r="95" spans="2:9" x14ac:dyDescent="0.3">
      <c r="B95" s="131" t="s">
        <v>24</v>
      </c>
      <c r="C95" s="121">
        <f>(C84*1000000)/C134</f>
        <v>13.038121293642394</v>
      </c>
      <c r="D95" s="121">
        <f>(D84*1000000)/C135</f>
        <v>10.363499753866881</v>
      </c>
      <c r="E95" s="121" t="e">
        <f t="shared" si="11"/>
        <v>#REF!</v>
      </c>
      <c r="F95" s="7"/>
      <c r="G95" s="121">
        <f>(G84*1000000)/D134</f>
        <v>5.0159213704165975</v>
      </c>
      <c r="H95" s="121">
        <f>(H84*1000000)/D135</f>
        <v>5.0395505184576175</v>
      </c>
      <c r="I95" s="121">
        <f t="shared" si="12"/>
        <v>5.0253463898398989</v>
      </c>
    </row>
    <row r="96" spans="2:9" x14ac:dyDescent="0.3">
      <c r="B96" s="131" t="s">
        <v>25</v>
      </c>
      <c r="C96" s="121">
        <f>(C84*200000)/C134</f>
        <v>2.607624258728479</v>
      </c>
      <c r="D96" s="121">
        <f>(D84*200000)/C135</f>
        <v>2.0726999507733761</v>
      </c>
      <c r="E96" s="121" t="e">
        <f t="shared" si="11"/>
        <v>#REF!</v>
      </c>
      <c r="F96" s="7"/>
      <c r="G96" s="121">
        <f>(G84*200000)/D134</f>
        <v>1.0031842740833194</v>
      </c>
      <c r="H96" s="121">
        <f>(H84*200000)/D135</f>
        <v>1.0079101036915237</v>
      </c>
      <c r="I96" s="121">
        <f t="shared" si="12"/>
        <v>1.0050692779679797</v>
      </c>
    </row>
    <row r="97" spans="2:15" x14ac:dyDescent="0.3">
      <c r="B97" s="131" t="s">
        <v>26</v>
      </c>
      <c r="C97" s="121" t="e">
        <f>(GETPIVOTDATA("Number of Days",'[2]2023_TD_Empleados'!$Q$7,"Gender","Male")*1000)/C134</f>
        <v>#REF!</v>
      </c>
      <c r="D97" s="121" t="e">
        <f>(GETPIVOTDATA("Number of Days",'[2]2023_TD_Empleados'!$Q$7,"Gender","Female")*1000)/C135</f>
        <v>#REF!</v>
      </c>
      <c r="E97" s="121" t="e">
        <f t="shared" si="11"/>
        <v>#REF!</v>
      </c>
      <c r="F97" s="7"/>
      <c r="G97" s="121">
        <f>(172*1000/D134)</f>
        <v>0.28757949190388493</v>
      </c>
      <c r="H97" s="121">
        <f>(23*1000/D135)</f>
        <v>5.7954830962262609E-2</v>
      </c>
      <c r="I97" s="121">
        <f t="shared" si="12"/>
        <v>3.1157147617007375E-2</v>
      </c>
    </row>
    <row r="98" spans="2:15" x14ac:dyDescent="0.3">
      <c r="B98" s="109"/>
      <c r="C98" s="132"/>
      <c r="D98" s="132"/>
      <c r="E98" s="132"/>
      <c r="F98" s="7"/>
      <c r="G98" s="132"/>
      <c r="H98" s="132"/>
      <c r="I98" s="132"/>
    </row>
    <row r="99" spans="2:15" x14ac:dyDescent="0.3">
      <c r="B99" s="109"/>
      <c r="C99" s="132"/>
      <c r="D99" s="132"/>
      <c r="E99" s="132"/>
      <c r="F99" s="7"/>
      <c r="G99" s="132"/>
      <c r="H99" s="132"/>
      <c r="I99" s="132"/>
    </row>
    <row r="100" spans="2:15" x14ac:dyDescent="0.3">
      <c r="B100" s="10" t="s">
        <v>42</v>
      </c>
    </row>
    <row r="101" spans="2:15" x14ac:dyDescent="0.3">
      <c r="B101" t="s">
        <v>43</v>
      </c>
    </row>
    <row r="102" spans="2:15" x14ac:dyDescent="0.3">
      <c r="B102" s="217" t="s">
        <v>44</v>
      </c>
      <c r="C102" s="217"/>
      <c r="D102" s="217"/>
      <c r="E102" s="217"/>
      <c r="F102" s="217"/>
      <c r="G102" s="217"/>
      <c r="H102" s="217"/>
      <c r="I102" s="217"/>
      <c r="J102" s="217"/>
      <c r="K102" s="217"/>
      <c r="L102" s="217"/>
      <c r="M102" s="217"/>
    </row>
    <row r="103" spans="2:15" x14ac:dyDescent="0.3">
      <c r="B103" s="217"/>
      <c r="C103" s="217"/>
      <c r="D103" s="217"/>
      <c r="E103" s="217"/>
      <c r="F103" s="217"/>
      <c r="G103" s="217"/>
      <c r="H103" s="217"/>
      <c r="I103" s="217"/>
      <c r="J103" s="217"/>
      <c r="K103" s="217"/>
      <c r="L103" s="217"/>
      <c r="M103" s="217"/>
    </row>
    <row r="104" spans="2:15" x14ac:dyDescent="0.3">
      <c r="B104" s="216" t="s">
        <v>45</v>
      </c>
      <c r="C104" s="216"/>
      <c r="D104" s="216"/>
      <c r="E104" s="216"/>
      <c r="F104" s="216"/>
      <c r="G104" s="216"/>
      <c r="H104" s="216"/>
      <c r="I104" s="216"/>
      <c r="J104" s="216"/>
      <c r="K104" s="216"/>
      <c r="L104" s="216"/>
      <c r="M104" s="216"/>
    </row>
    <row r="105" spans="2:15" x14ac:dyDescent="0.3">
      <c r="B105" s="216"/>
      <c r="C105" s="216"/>
      <c r="D105" s="216"/>
      <c r="E105" s="216"/>
      <c r="F105" s="216"/>
      <c r="G105" s="216"/>
      <c r="H105" s="216"/>
      <c r="I105" s="216"/>
      <c r="J105" s="216"/>
      <c r="K105" s="216"/>
      <c r="L105" s="216"/>
      <c r="M105" s="216"/>
    </row>
    <row r="106" spans="2:15" x14ac:dyDescent="0.3">
      <c r="B106" s="216" t="s">
        <v>46</v>
      </c>
      <c r="C106" s="216"/>
      <c r="D106" s="216"/>
      <c r="E106" s="216"/>
      <c r="F106" s="216"/>
      <c r="G106" s="216"/>
      <c r="H106" s="216"/>
      <c r="I106" s="216"/>
      <c r="J106" s="216"/>
      <c r="K106" s="216"/>
      <c r="L106" s="216"/>
      <c r="M106" s="216"/>
      <c r="O106" s="133" t="s">
        <v>47</v>
      </c>
    </row>
    <row r="107" spans="2:15" x14ac:dyDescent="0.3">
      <c r="B107" s="216"/>
      <c r="C107" s="216"/>
      <c r="D107" s="216"/>
      <c r="E107" s="216"/>
      <c r="F107" s="216"/>
      <c r="G107" s="216"/>
      <c r="H107" s="216"/>
      <c r="I107" s="216"/>
      <c r="J107" s="216"/>
      <c r="K107" s="216"/>
      <c r="L107" s="216"/>
      <c r="M107" s="216"/>
    </row>
    <row r="108" spans="2:15" x14ac:dyDescent="0.3">
      <c r="B108" s="216" t="s">
        <v>48</v>
      </c>
      <c r="C108" s="216"/>
      <c r="D108" s="216"/>
      <c r="E108" s="216"/>
      <c r="F108" s="216"/>
      <c r="G108" s="216"/>
      <c r="H108" s="216"/>
      <c r="I108" s="216"/>
      <c r="J108" s="216"/>
      <c r="K108" s="216"/>
      <c r="L108" s="216"/>
      <c r="M108" s="216"/>
    </row>
    <row r="109" spans="2:15" x14ac:dyDescent="0.3">
      <c r="B109" s="216"/>
      <c r="C109" s="216"/>
      <c r="D109" s="216"/>
      <c r="E109" s="216"/>
      <c r="F109" s="216"/>
      <c r="G109" s="216"/>
      <c r="H109" s="216"/>
      <c r="I109" s="216"/>
      <c r="J109" s="216"/>
      <c r="K109" s="216"/>
      <c r="L109" s="216"/>
      <c r="M109" s="216"/>
    </row>
    <row r="112" spans="2:15" x14ac:dyDescent="0.3">
      <c r="B112" s="110" t="s">
        <v>49</v>
      </c>
      <c r="C112" s="111">
        <v>2023</v>
      </c>
      <c r="D112" s="111">
        <v>2022</v>
      </c>
    </row>
    <row r="113" spans="2:7" ht="28" x14ac:dyDescent="0.3">
      <c r="B113" s="131" t="s">
        <v>50</v>
      </c>
      <c r="C113" s="134">
        <f>('[3]Fluidra Companies 2023'!$J$23+'[3]Fluidra Companies 2023'!$J$69)/SUM('[3]Fluidra Companies 2023'!$J$5:$J$141)</f>
        <v>1.9719062951305943E-2</v>
      </c>
      <c r="D113" s="134">
        <f>'[3]Fluidra Companies 2023'!$O$69/SUM('[3]Fluidra Companies 2023'!$O$5:$O$141)</f>
        <v>1.6089343732252931E-2</v>
      </c>
      <c r="E113" s="135" t="s">
        <v>51</v>
      </c>
    </row>
    <row r="114" spans="2:7" ht="28" x14ac:dyDescent="0.3">
      <c r="B114" s="131" t="s">
        <v>52</v>
      </c>
      <c r="C114" s="134">
        <f>1-C113</f>
        <v>0.98028093704869401</v>
      </c>
      <c r="D114" s="134">
        <f>1-D113</f>
        <v>0.9839106562677471</v>
      </c>
    </row>
    <row r="117" spans="2:7" x14ac:dyDescent="0.3">
      <c r="B117" s="10" t="s">
        <v>53</v>
      </c>
    </row>
    <row r="119" spans="2:7" x14ac:dyDescent="0.3">
      <c r="B119" s="10" t="s">
        <v>54</v>
      </c>
    </row>
    <row r="120" spans="2:7" x14ac:dyDescent="0.3">
      <c r="C120" s="111">
        <v>2023</v>
      </c>
      <c r="D120" s="111" t="s">
        <v>55</v>
      </c>
      <c r="E120" s="111">
        <v>2022</v>
      </c>
      <c r="F120" s="111" t="s">
        <v>55</v>
      </c>
    </row>
    <row r="121" spans="2:7" x14ac:dyDescent="0.3">
      <c r="B121" s="136" t="s">
        <v>56</v>
      </c>
      <c r="C121" s="137">
        <v>357696</v>
      </c>
      <c r="D121" s="138">
        <f>C121/$C$128</f>
        <v>2.8875488128451358E-2</v>
      </c>
      <c r="E121" s="137">
        <v>343879</v>
      </c>
      <c r="F121" s="138">
        <f>E121/$D$128</f>
        <v>2.5601660023967791E-2</v>
      </c>
    </row>
    <row r="122" spans="2:7" x14ac:dyDescent="0.3">
      <c r="B122" s="136" t="s">
        <v>57</v>
      </c>
      <c r="C122" s="137">
        <v>85310</v>
      </c>
      <c r="D122" s="138">
        <f t="shared" ref="D122:D123" si="13">C122/$C$128</f>
        <v>6.8867638783720962E-3</v>
      </c>
      <c r="E122" s="137">
        <v>79778</v>
      </c>
      <c r="F122" s="138">
        <f>E122/$D$128</f>
        <v>5.9394415866979439E-3</v>
      </c>
    </row>
    <row r="123" spans="2:7" x14ac:dyDescent="0.3">
      <c r="B123" s="136" t="s">
        <v>58</v>
      </c>
      <c r="C123" s="137">
        <v>357966.8</v>
      </c>
      <c r="D123" s="138">
        <f t="shared" si="13"/>
        <v>2.8897348820729672E-2</v>
      </c>
      <c r="E123" s="137">
        <v>403760</v>
      </c>
      <c r="F123" s="138">
        <f>E123/$D$128</f>
        <v>3.0059777570823561E-2</v>
      </c>
    </row>
    <row r="124" spans="2:7" x14ac:dyDescent="0.3">
      <c r="B124" s="139" t="s">
        <v>59</v>
      </c>
      <c r="C124" s="140">
        <f>SUM(C121:C123)</f>
        <v>800972.80000000005</v>
      </c>
      <c r="D124" s="141">
        <f>C124/$C$128</f>
        <v>6.4659600827553135E-2</v>
      </c>
      <c r="E124" s="140">
        <f>SUM(E121:E123)</f>
        <v>827417</v>
      </c>
      <c r="F124" s="141">
        <f>E124/$D$128</f>
        <v>6.1600879181489293E-2</v>
      </c>
      <c r="G124" s="142">
        <f>(C124/E124)-1</f>
        <v>-3.1959942809973607E-2</v>
      </c>
    </row>
    <row r="127" spans="2:7" x14ac:dyDescent="0.3">
      <c r="C127" s="111">
        <v>2023</v>
      </c>
      <c r="D127" s="111">
        <v>2022</v>
      </c>
      <c r="E127" s="111">
        <v>2021</v>
      </c>
      <c r="F127" s="111">
        <v>2020</v>
      </c>
    </row>
    <row r="128" spans="2:7" x14ac:dyDescent="0.3">
      <c r="B128" s="139" t="s">
        <v>60</v>
      </c>
      <c r="C128" s="143">
        <f>SUM(C129:C130)</f>
        <v>12387530.850000001</v>
      </c>
      <c r="D128" s="143">
        <f t="shared" ref="D128:F128" si="14">SUM(D129:D130)</f>
        <v>13431902.449999999</v>
      </c>
      <c r="E128" s="143">
        <f t="shared" si="14"/>
        <v>12255768.49</v>
      </c>
      <c r="F128" s="143">
        <f t="shared" si="14"/>
        <v>7788389.8452000003</v>
      </c>
      <c r="G128" s="142">
        <f>(C128/D128)-1</f>
        <v>-7.7753066171203256E-2</v>
      </c>
    </row>
    <row r="129" spans="2:8" x14ac:dyDescent="0.3">
      <c r="B129" s="136" t="s">
        <v>30</v>
      </c>
      <c r="C129" s="144">
        <v>8145373.9000000004</v>
      </c>
      <c r="D129" s="144">
        <v>8702316.3200000003</v>
      </c>
      <c r="E129" s="144">
        <v>7963346.1799999997</v>
      </c>
      <c r="F129" s="144">
        <v>4987038.9440000001</v>
      </c>
    </row>
    <row r="130" spans="2:8" x14ac:dyDescent="0.3">
      <c r="B130" s="136" t="s">
        <v>31</v>
      </c>
      <c r="C130" s="144">
        <v>4242156.95</v>
      </c>
      <c r="D130" s="144">
        <v>4729586.129999999</v>
      </c>
      <c r="E130" s="144">
        <v>4292422.3100000005</v>
      </c>
      <c r="F130" s="144">
        <v>2801350.9011999997</v>
      </c>
    </row>
    <row r="132" spans="2:8" x14ac:dyDescent="0.3">
      <c r="C132" s="111">
        <v>2023</v>
      </c>
      <c r="D132" s="111">
        <v>2022</v>
      </c>
      <c r="E132" s="111">
        <v>2021</v>
      </c>
      <c r="F132" s="111">
        <v>2020</v>
      </c>
    </row>
    <row r="133" spans="2:8" x14ac:dyDescent="0.3">
      <c r="B133" s="139" t="s">
        <v>61</v>
      </c>
      <c r="C133" s="143">
        <f>SUM(C134:C135)</f>
        <v>326587</v>
      </c>
      <c r="D133" s="143">
        <f>SUM(D134:D135)</f>
        <v>994956.29</v>
      </c>
      <c r="E133" s="143">
        <f>SUM(E134:E135)</f>
        <v>1459040.42</v>
      </c>
      <c r="F133" s="143">
        <f>SUM(F134:F135)</f>
        <v>395526</v>
      </c>
      <c r="G133" s="142">
        <f>(C133/D133)-1</f>
        <v>-0.67175743971627133</v>
      </c>
      <c r="H133" s="142">
        <f>(C133/E133)-1</f>
        <v>-0.77616315797474611</v>
      </c>
    </row>
    <row r="134" spans="2:8" x14ac:dyDescent="0.3">
      <c r="B134" s="136" t="s">
        <v>30</v>
      </c>
      <c r="C134" s="144">
        <v>230094.5</v>
      </c>
      <c r="D134" s="144">
        <v>598095.5</v>
      </c>
      <c r="E134" s="144">
        <v>938811.38</v>
      </c>
      <c r="F134" s="144">
        <v>235142</v>
      </c>
    </row>
    <row r="135" spans="2:8" x14ac:dyDescent="0.3">
      <c r="B135" s="136" t="s">
        <v>31</v>
      </c>
      <c r="C135" s="144">
        <v>96492.5</v>
      </c>
      <c r="D135" s="144">
        <v>396860.79000000004</v>
      </c>
      <c r="E135" s="144">
        <v>520229.04</v>
      </c>
      <c r="F135" s="144">
        <v>160384</v>
      </c>
    </row>
  </sheetData>
  <mergeCells count="19">
    <mergeCell ref="B19:M20"/>
    <mergeCell ref="B3:M6"/>
    <mergeCell ref="B9:M9"/>
    <mergeCell ref="B10:M11"/>
    <mergeCell ref="B14:M15"/>
    <mergeCell ref="B16:M18"/>
    <mergeCell ref="B108:M109"/>
    <mergeCell ref="B22:M23"/>
    <mergeCell ref="C60:E60"/>
    <mergeCell ref="G60:I60"/>
    <mergeCell ref="C71:E71"/>
    <mergeCell ref="G71:I71"/>
    <mergeCell ref="C80:E80"/>
    <mergeCell ref="G80:I80"/>
    <mergeCell ref="C91:E91"/>
    <mergeCell ref="G91:I91"/>
    <mergeCell ref="B102:M103"/>
    <mergeCell ref="B104:M105"/>
    <mergeCell ref="B106:M10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009F3-2449-40F2-B16E-7DE55CF264B5}">
  <dimension ref="B1:H48"/>
  <sheetViews>
    <sheetView showGridLines="0" zoomScale="90" zoomScaleNormal="90" workbookViewId="0">
      <selection activeCell="B2" sqref="B2:H38"/>
    </sheetView>
  </sheetViews>
  <sheetFormatPr baseColWidth="10" defaultColWidth="11" defaultRowHeight="14" x14ac:dyDescent="0.3"/>
  <cols>
    <col min="1" max="1" width="3.83203125" customWidth="1"/>
    <col min="2" max="2" width="40.83203125" customWidth="1"/>
    <col min="3" max="3" width="13.83203125" bestFit="1" customWidth="1"/>
    <col min="4" max="5" width="10.33203125" style="17" customWidth="1"/>
    <col min="6" max="6" width="11.25" style="1"/>
    <col min="7" max="7" width="21.08203125" style="1" bestFit="1" customWidth="1"/>
    <col min="8" max="8" width="11.25" style="1"/>
    <col min="10" max="10" width="16" customWidth="1"/>
  </cols>
  <sheetData>
    <row r="1" spans="2:8" ht="14.5" thickBot="1" x14ac:dyDescent="0.35"/>
    <row r="2" spans="2:8" ht="14.5" thickBot="1" x14ac:dyDescent="0.35">
      <c r="B2" s="64" t="s">
        <v>62</v>
      </c>
      <c r="C2" s="65" t="s">
        <v>63</v>
      </c>
      <c r="D2" s="66">
        <v>2023</v>
      </c>
      <c r="E2" s="66">
        <v>2022</v>
      </c>
      <c r="F2" s="67" t="s">
        <v>64</v>
      </c>
      <c r="G2" s="67" t="s">
        <v>65</v>
      </c>
      <c r="H2" s="68" t="s">
        <v>66</v>
      </c>
    </row>
    <row r="3" spans="2:8" ht="14.5" thickBot="1" x14ac:dyDescent="0.35">
      <c r="B3" s="27" t="s">
        <v>67</v>
      </c>
      <c r="C3" t="s">
        <v>68</v>
      </c>
      <c r="D3" s="96">
        <v>2050.7078809999998</v>
      </c>
      <c r="E3" s="96">
        <v>2389.2049999999999</v>
      </c>
      <c r="H3" s="32">
        <v>29</v>
      </c>
    </row>
    <row r="4" spans="2:8" ht="14.5" thickBot="1" x14ac:dyDescent="0.35">
      <c r="B4" s="69" t="s">
        <v>69</v>
      </c>
      <c r="C4" s="70" t="s">
        <v>63</v>
      </c>
      <c r="D4" s="71">
        <v>2023</v>
      </c>
      <c r="E4" s="71">
        <v>2022</v>
      </c>
      <c r="F4" s="72" t="s">
        <v>64</v>
      </c>
      <c r="G4" s="72" t="s">
        <v>65</v>
      </c>
      <c r="H4" s="73" t="s">
        <v>66</v>
      </c>
    </row>
    <row r="5" spans="2:8" ht="14.5" thickBot="1" x14ac:dyDescent="0.35">
      <c r="B5" s="40" t="s">
        <v>70</v>
      </c>
      <c r="C5" s="41"/>
      <c r="D5" s="42"/>
      <c r="E5" s="42"/>
      <c r="F5" s="43"/>
      <c r="G5" s="43"/>
      <c r="H5" s="44"/>
    </row>
    <row r="6" spans="2:8" x14ac:dyDescent="0.3">
      <c r="B6" s="27" t="s">
        <v>71</v>
      </c>
      <c r="C6" t="s">
        <v>72</v>
      </c>
      <c r="D6" s="96">
        <v>7934</v>
      </c>
      <c r="E6" s="96">
        <v>9892</v>
      </c>
      <c r="F6" s="82">
        <f>D6/E6-1</f>
        <v>-0.19793772745653049</v>
      </c>
      <c r="G6" s="1" t="s">
        <v>73</v>
      </c>
      <c r="H6" s="32">
        <v>234</v>
      </c>
    </row>
    <row r="7" spans="2:8" x14ac:dyDescent="0.3">
      <c r="B7" s="27" t="s">
        <v>74</v>
      </c>
      <c r="C7" t="s">
        <v>72</v>
      </c>
      <c r="D7" s="96">
        <v>4112</v>
      </c>
      <c r="E7" s="96">
        <v>5761</v>
      </c>
      <c r="F7" s="82">
        <f t="shared" ref="F7:F38" si="0">D7/E7-1</f>
        <v>-0.28623502864086092</v>
      </c>
      <c r="G7" s="1" t="s">
        <v>73</v>
      </c>
      <c r="H7" s="32">
        <v>234</v>
      </c>
    </row>
    <row r="8" spans="2:8" x14ac:dyDescent="0.3">
      <c r="B8" s="27" t="s">
        <v>75</v>
      </c>
      <c r="C8" t="s">
        <v>72</v>
      </c>
      <c r="D8" s="96">
        <v>15425</v>
      </c>
      <c r="E8" s="96">
        <v>19048</v>
      </c>
      <c r="F8" s="82">
        <f t="shared" si="0"/>
        <v>-0.19020369592608144</v>
      </c>
      <c r="G8" s="1" t="s">
        <v>73</v>
      </c>
      <c r="H8" s="32">
        <v>234</v>
      </c>
    </row>
    <row r="9" spans="2:8" x14ac:dyDescent="0.3">
      <c r="B9" s="27" t="s">
        <v>76</v>
      </c>
      <c r="C9" t="s">
        <v>72</v>
      </c>
      <c r="D9" s="96">
        <v>12046</v>
      </c>
      <c r="E9" s="96">
        <v>15653</v>
      </c>
      <c r="F9" s="82">
        <f t="shared" si="0"/>
        <v>-0.23043506037181372</v>
      </c>
      <c r="G9" s="99">
        <v>9392</v>
      </c>
      <c r="H9" s="32">
        <v>234</v>
      </c>
    </row>
    <row r="10" spans="2:8" x14ac:dyDescent="0.3">
      <c r="B10" s="27" t="s">
        <v>77</v>
      </c>
      <c r="C10" t="s">
        <v>72</v>
      </c>
      <c r="D10" s="96">
        <v>9688774</v>
      </c>
      <c r="E10" s="96">
        <v>7228949</v>
      </c>
      <c r="F10" s="82">
        <f t="shared" si="0"/>
        <v>0.34027422243537764</v>
      </c>
      <c r="G10" s="1" t="s">
        <v>73</v>
      </c>
      <c r="H10" s="32">
        <v>234</v>
      </c>
    </row>
    <row r="11" spans="2:8" x14ac:dyDescent="0.3">
      <c r="B11" s="27" t="s">
        <v>78</v>
      </c>
      <c r="C11" t="s">
        <v>72</v>
      </c>
      <c r="D11" s="96">
        <v>9700820</v>
      </c>
      <c r="E11" s="96">
        <v>7244602</v>
      </c>
      <c r="F11" s="82">
        <f t="shared" si="0"/>
        <v>0.339041123308085</v>
      </c>
      <c r="G11" s="1" t="s">
        <v>73</v>
      </c>
      <c r="H11" s="32">
        <v>234</v>
      </c>
    </row>
    <row r="12" spans="2:8" x14ac:dyDescent="0.3">
      <c r="B12" s="27" t="s">
        <v>79</v>
      </c>
      <c r="C12" t="s">
        <v>80</v>
      </c>
      <c r="D12" s="97">
        <f>D11/D3</f>
        <v>4730.4738475328468</v>
      </c>
      <c r="E12" s="97">
        <f>E11/E3</f>
        <v>3032.2228523713957</v>
      </c>
      <c r="F12" s="82">
        <f t="shared" si="0"/>
        <v>0.56006800220284214</v>
      </c>
      <c r="G12" s="1" t="s">
        <v>73</v>
      </c>
      <c r="H12" s="32">
        <v>235</v>
      </c>
    </row>
    <row r="13" spans="2:8" ht="14.5" thickBot="1" x14ac:dyDescent="0.35">
      <c r="B13" s="27" t="s">
        <v>81</v>
      </c>
      <c r="C13" t="s">
        <v>80</v>
      </c>
      <c r="D13" s="97">
        <f>D9/D3</f>
        <v>5.87406919903479</v>
      </c>
      <c r="E13" s="97">
        <f>E9/E3</f>
        <v>6.551551666767816</v>
      </c>
      <c r="F13" s="82">
        <f t="shared" si="0"/>
        <v>-0.10340794092634542</v>
      </c>
      <c r="G13" s="1" t="s">
        <v>73</v>
      </c>
      <c r="H13" s="32">
        <v>235</v>
      </c>
    </row>
    <row r="14" spans="2:8" ht="14.5" thickBot="1" x14ac:dyDescent="0.35">
      <c r="B14" s="40" t="s">
        <v>82</v>
      </c>
      <c r="C14" s="41"/>
      <c r="D14" s="42"/>
      <c r="E14" s="42"/>
      <c r="F14" s="43"/>
      <c r="G14" s="43"/>
      <c r="H14" s="44"/>
    </row>
    <row r="15" spans="2:8" x14ac:dyDescent="0.3">
      <c r="B15" s="27" t="s">
        <v>83</v>
      </c>
      <c r="C15" t="s">
        <v>84</v>
      </c>
      <c r="D15" s="97">
        <v>89334</v>
      </c>
      <c r="E15" s="97">
        <v>114362</v>
      </c>
      <c r="F15" s="82">
        <f t="shared" si="0"/>
        <v>-0.21884891834700337</v>
      </c>
      <c r="G15" s="1" t="s">
        <v>73</v>
      </c>
      <c r="H15" s="32">
        <v>75</v>
      </c>
    </row>
    <row r="16" spans="2:8" x14ac:dyDescent="0.3">
      <c r="B16" s="27" t="s">
        <v>85</v>
      </c>
      <c r="C16" t="s">
        <v>55</v>
      </c>
      <c r="D16" s="46">
        <f>45845/D15</f>
        <v>0.5131864687576958</v>
      </c>
      <c r="E16" s="46">
        <f>52588/E15</f>
        <v>0.45983805809622075</v>
      </c>
      <c r="F16" s="82">
        <f t="shared" si="0"/>
        <v>0.11601564881850623</v>
      </c>
      <c r="G16" s="1" t="s">
        <v>73</v>
      </c>
      <c r="H16" s="32">
        <v>75</v>
      </c>
    </row>
    <row r="17" spans="2:8" x14ac:dyDescent="0.3">
      <c r="B17" s="27" t="s">
        <v>86</v>
      </c>
      <c r="C17" t="s">
        <v>55</v>
      </c>
      <c r="D17" s="46">
        <v>0.86</v>
      </c>
      <c r="E17" s="46">
        <v>0.83</v>
      </c>
      <c r="F17" s="82">
        <f t="shared" si="0"/>
        <v>3.6144578313253017E-2</v>
      </c>
      <c r="G17" s="79">
        <v>0.89</v>
      </c>
      <c r="H17" s="32">
        <v>76</v>
      </c>
    </row>
    <row r="18" spans="2:8" ht="14.5" thickBot="1" x14ac:dyDescent="0.35">
      <c r="B18" s="27" t="s">
        <v>87</v>
      </c>
      <c r="C18" t="s">
        <v>88</v>
      </c>
      <c r="D18" s="98">
        <f>D15/D3</f>
        <v>43.562518497972263</v>
      </c>
      <c r="E18" s="98">
        <f>E15/E3</f>
        <v>47.866131202638535</v>
      </c>
      <c r="F18" s="82">
        <f t="shared" si="0"/>
        <v>-8.9909349189872367E-2</v>
      </c>
      <c r="G18" s="101">
        <f>D18*0.97</f>
        <v>42.255642943033095</v>
      </c>
      <c r="H18" s="32">
        <v>76</v>
      </c>
    </row>
    <row r="19" spans="2:8" ht="14.5" thickBot="1" x14ac:dyDescent="0.35">
      <c r="B19" s="40" t="s">
        <v>89</v>
      </c>
      <c r="C19" s="41"/>
      <c r="D19" s="42"/>
      <c r="E19" s="42"/>
      <c r="F19" s="43"/>
      <c r="G19" s="43"/>
      <c r="H19" s="44"/>
    </row>
    <row r="20" spans="2:8" x14ac:dyDescent="0.3">
      <c r="B20" s="27" t="s">
        <v>90</v>
      </c>
      <c r="C20" t="s">
        <v>91</v>
      </c>
      <c r="D20" s="97">
        <v>129434</v>
      </c>
      <c r="E20" s="97">
        <v>167361</v>
      </c>
      <c r="F20" s="82">
        <f t="shared" si="0"/>
        <v>-0.22661790978782392</v>
      </c>
      <c r="G20" s="1" t="s">
        <v>73</v>
      </c>
      <c r="H20" s="32">
        <v>79</v>
      </c>
    </row>
    <row r="21" spans="2:8" x14ac:dyDescent="0.3">
      <c r="B21" s="27" t="s">
        <v>92</v>
      </c>
      <c r="C21" t="s">
        <v>91</v>
      </c>
      <c r="D21" s="97">
        <v>80102</v>
      </c>
      <c r="E21" s="97">
        <v>130615</v>
      </c>
      <c r="F21" s="82">
        <f t="shared" si="0"/>
        <v>-0.38673199862190411</v>
      </c>
      <c r="G21" s="1" t="s">
        <v>73</v>
      </c>
      <c r="H21" s="32">
        <v>80</v>
      </c>
    </row>
    <row r="22" spans="2:8" ht="14.5" thickBot="1" x14ac:dyDescent="0.35">
      <c r="B22" s="27" t="s">
        <v>93</v>
      </c>
      <c r="C22" t="s">
        <v>94</v>
      </c>
      <c r="D22" s="97">
        <f>D20/D3</f>
        <v>63.11674188177561</v>
      </c>
      <c r="E22" s="97">
        <f>E20/E3</f>
        <v>70.048823771924134</v>
      </c>
      <c r="F22" s="82">
        <f t="shared" si="0"/>
        <v>-9.8960717923245567E-2</v>
      </c>
      <c r="G22" s="100">
        <v>55</v>
      </c>
      <c r="H22" s="32">
        <v>79</v>
      </c>
    </row>
    <row r="23" spans="2:8" ht="14.5" thickBot="1" x14ac:dyDescent="0.35">
      <c r="B23" s="40" t="s">
        <v>95</v>
      </c>
      <c r="C23" s="41"/>
      <c r="D23" s="42"/>
      <c r="E23" s="42"/>
      <c r="F23" s="43"/>
      <c r="G23" s="43"/>
      <c r="H23" s="44"/>
    </row>
    <row r="24" spans="2:8" x14ac:dyDescent="0.3">
      <c r="B24" s="27" t="s">
        <v>96</v>
      </c>
      <c r="C24" t="s">
        <v>97</v>
      </c>
      <c r="D24" s="97">
        <f>SUM(D25:D26)</f>
        <v>8764</v>
      </c>
      <c r="E24" s="97">
        <f>SUM(E25:E26)</f>
        <v>10049</v>
      </c>
      <c r="F24" s="82">
        <f t="shared" si="0"/>
        <v>-0.12787342024081993</v>
      </c>
      <c r="G24" s="1" t="s">
        <v>73</v>
      </c>
      <c r="H24" s="32">
        <v>240</v>
      </c>
    </row>
    <row r="25" spans="2:8" x14ac:dyDescent="0.3">
      <c r="B25" s="27" t="s">
        <v>98</v>
      </c>
      <c r="C25" t="s">
        <v>97</v>
      </c>
      <c r="D25" s="97">
        <v>855</v>
      </c>
      <c r="E25" s="97">
        <v>615</v>
      </c>
      <c r="F25" s="82">
        <f t="shared" si="0"/>
        <v>0.39024390243902429</v>
      </c>
      <c r="G25" s="79">
        <v>-0.01</v>
      </c>
      <c r="H25" s="32">
        <v>240</v>
      </c>
    </row>
    <row r="26" spans="2:8" x14ac:dyDescent="0.3">
      <c r="B26" s="27" t="s">
        <v>99</v>
      </c>
      <c r="C26" t="s">
        <v>97</v>
      </c>
      <c r="D26" s="97">
        <v>7909</v>
      </c>
      <c r="E26" s="97">
        <v>9434</v>
      </c>
      <c r="F26" s="82">
        <f t="shared" si="0"/>
        <v>-0.16164935340258635</v>
      </c>
      <c r="G26" s="1" t="s">
        <v>73</v>
      </c>
      <c r="H26" s="32">
        <v>240</v>
      </c>
    </row>
    <row r="27" spans="2:8" x14ac:dyDescent="0.3">
      <c r="B27" s="27" t="s">
        <v>100</v>
      </c>
      <c r="C27" t="s">
        <v>55</v>
      </c>
      <c r="D27" s="97">
        <v>2577</v>
      </c>
      <c r="E27" s="97">
        <v>2720</v>
      </c>
      <c r="F27" s="82">
        <f t="shared" si="0"/>
        <v>-5.2573529411764741E-2</v>
      </c>
      <c r="G27" s="1" t="s">
        <v>73</v>
      </c>
      <c r="H27" s="32">
        <v>240</v>
      </c>
    </row>
    <row r="28" spans="2:8" x14ac:dyDescent="0.3">
      <c r="B28" s="27" t="s">
        <v>101</v>
      </c>
      <c r="C28" t="s">
        <v>55</v>
      </c>
      <c r="D28" s="97">
        <v>5785</v>
      </c>
      <c r="E28" s="97">
        <v>7038</v>
      </c>
      <c r="F28" s="82">
        <f t="shared" si="0"/>
        <v>-0.17803353225348106</v>
      </c>
      <c r="G28" s="1" t="s">
        <v>73</v>
      </c>
      <c r="H28" s="32">
        <v>240</v>
      </c>
    </row>
    <row r="29" spans="2:8" ht="14.5" thickBot="1" x14ac:dyDescent="0.35">
      <c r="B29" s="27" t="s">
        <v>102</v>
      </c>
      <c r="C29" t="s">
        <v>55</v>
      </c>
      <c r="D29" s="97">
        <v>402</v>
      </c>
      <c r="E29" s="97">
        <v>291</v>
      </c>
      <c r="F29" s="82">
        <f t="shared" si="0"/>
        <v>0.38144329896907214</v>
      </c>
      <c r="G29" s="1" t="s">
        <v>73</v>
      </c>
      <c r="H29" s="32">
        <v>240</v>
      </c>
    </row>
    <row r="30" spans="2:8" ht="14.5" thickBot="1" x14ac:dyDescent="0.35">
      <c r="B30" s="40" t="s">
        <v>103</v>
      </c>
      <c r="C30" s="41"/>
      <c r="D30" s="42"/>
      <c r="E30" s="42"/>
      <c r="F30" s="43"/>
      <c r="G30" s="43"/>
      <c r="H30" s="44"/>
    </row>
    <row r="31" spans="2:8" x14ac:dyDescent="0.3">
      <c r="B31" s="27" t="s">
        <v>104</v>
      </c>
      <c r="C31" t="s">
        <v>97</v>
      </c>
      <c r="D31" s="97">
        <f>D32+D33</f>
        <v>246368</v>
      </c>
      <c r="E31" s="97">
        <f>E32+E33</f>
        <v>296033</v>
      </c>
      <c r="F31" s="82">
        <f t="shared" si="0"/>
        <v>-0.16776845824620901</v>
      </c>
      <c r="G31" s="1" t="s">
        <v>73</v>
      </c>
      <c r="H31" s="32">
        <v>238</v>
      </c>
    </row>
    <row r="32" spans="2:8" x14ac:dyDescent="0.3">
      <c r="B32" s="27" t="s">
        <v>105</v>
      </c>
      <c r="C32" t="s">
        <v>97</v>
      </c>
      <c r="D32" s="97">
        <v>2168</v>
      </c>
      <c r="E32" s="97">
        <v>6989</v>
      </c>
      <c r="F32" s="82">
        <f t="shared" si="0"/>
        <v>-0.68979825439977105</v>
      </c>
      <c r="G32" s="1" t="s">
        <v>73</v>
      </c>
      <c r="H32" s="32">
        <v>238</v>
      </c>
    </row>
    <row r="33" spans="2:8" ht="14.5" thickBot="1" x14ac:dyDescent="0.35">
      <c r="B33" s="27" t="s">
        <v>106</v>
      </c>
      <c r="C33" t="s">
        <v>97</v>
      </c>
      <c r="D33" s="97">
        <v>244200</v>
      </c>
      <c r="E33" s="97">
        <v>289044</v>
      </c>
      <c r="F33" s="82">
        <f t="shared" si="0"/>
        <v>-0.15514592933947768</v>
      </c>
      <c r="G33" s="1" t="s">
        <v>73</v>
      </c>
      <c r="H33" s="32">
        <v>238</v>
      </c>
    </row>
    <row r="34" spans="2:8" ht="14.5" thickBot="1" x14ac:dyDescent="0.35">
      <c r="B34" s="40" t="s">
        <v>107</v>
      </c>
      <c r="C34" s="41"/>
      <c r="D34" s="42"/>
      <c r="E34" s="42"/>
      <c r="F34" s="43"/>
      <c r="G34" s="43"/>
      <c r="H34" s="44"/>
    </row>
    <row r="35" spans="2:8" ht="14.5" thickBot="1" x14ac:dyDescent="0.35">
      <c r="B35" s="27" t="s">
        <v>108</v>
      </c>
      <c r="D35" s="34">
        <v>0.51</v>
      </c>
      <c r="E35" s="34">
        <v>0.53</v>
      </c>
      <c r="F35" s="82">
        <f t="shared" si="0"/>
        <v>-3.7735849056603765E-2</v>
      </c>
      <c r="G35" s="79">
        <v>0.54</v>
      </c>
      <c r="H35" s="32">
        <v>87</v>
      </c>
    </row>
    <row r="36" spans="2:8" ht="14.5" thickBot="1" x14ac:dyDescent="0.35">
      <c r="B36" s="40" t="s">
        <v>109</v>
      </c>
      <c r="C36" s="41"/>
      <c r="D36" s="42"/>
      <c r="E36" s="42"/>
      <c r="F36" s="43"/>
      <c r="G36" s="43"/>
      <c r="H36" s="44"/>
    </row>
    <row r="37" spans="2:8" x14ac:dyDescent="0.3">
      <c r="B37" s="83" t="s">
        <v>110</v>
      </c>
      <c r="C37" s="84"/>
      <c r="D37" s="85">
        <f>9/78</f>
        <v>0.11538461538461539</v>
      </c>
      <c r="E37" s="85">
        <f>9/77</f>
        <v>0.11688311688311688</v>
      </c>
      <c r="F37" s="86">
        <f t="shared" si="0"/>
        <v>-1.2820512820512775E-2</v>
      </c>
      <c r="G37" s="86">
        <f>10/78</f>
        <v>0.12820512820512819</v>
      </c>
      <c r="H37" s="87">
        <v>65</v>
      </c>
    </row>
    <row r="38" spans="2:8" ht="14.5" thickBot="1" x14ac:dyDescent="0.35">
      <c r="B38" s="36" t="s">
        <v>111</v>
      </c>
      <c r="C38" s="37"/>
      <c r="D38" s="62">
        <f>8/25</f>
        <v>0.32</v>
      </c>
      <c r="E38" s="63">
        <f>8/29</f>
        <v>0.27586206896551724</v>
      </c>
      <c r="F38" s="81">
        <f t="shared" si="0"/>
        <v>0.16000000000000014</v>
      </c>
      <c r="G38" s="81">
        <f>10/25</f>
        <v>0.4</v>
      </c>
      <c r="H38" s="55">
        <v>65</v>
      </c>
    </row>
    <row r="46" spans="2:8" ht="14.5" thickBot="1" x14ac:dyDescent="0.35">
      <c r="B46" t="s">
        <v>112</v>
      </c>
    </row>
    <row r="47" spans="2:8" ht="14.5" thickBot="1" x14ac:dyDescent="0.35">
      <c r="B47" s="40" t="s">
        <v>107</v>
      </c>
      <c r="C47" s="41"/>
      <c r="D47" s="42"/>
      <c r="E47" s="42"/>
      <c r="F47" s="43"/>
      <c r="G47" s="43"/>
      <c r="H47" s="44"/>
    </row>
    <row r="48" spans="2:8" x14ac:dyDescent="0.3">
      <c r="B48" s="27" t="s">
        <v>113</v>
      </c>
      <c r="D48" s="94" t="s">
        <v>114</v>
      </c>
      <c r="E48" s="94" t="s">
        <v>115</v>
      </c>
      <c r="F48" s="95" t="e">
        <f t="shared" ref="F48" si="1">D48/E48-1</f>
        <v>#VALUE!</v>
      </c>
      <c r="G48" s="79">
        <v>0.75</v>
      </c>
      <c r="H48" s="32">
        <v>99</v>
      </c>
    </row>
  </sheetData>
  <pageMargins left="0.7" right="0.7" top="0.75" bottom="0.75" header="0.3" footer="0.3"/>
  <pageSetup paperSize="9" orientation="portrait" r:id="rId1"/>
  <ignoredErrors>
    <ignoredError sqref="D24:E24"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CCDFD-759B-4ED5-8E19-A40973CE2D10}">
  <dimension ref="B1:K34"/>
  <sheetViews>
    <sheetView zoomScale="90" zoomScaleNormal="90" workbookViewId="0">
      <selection activeCell="C41" sqref="C41"/>
    </sheetView>
  </sheetViews>
  <sheetFormatPr baseColWidth="10" defaultColWidth="11" defaultRowHeight="14" x14ac:dyDescent="0.3"/>
  <cols>
    <col min="1" max="1" width="2.33203125" customWidth="1"/>
    <col min="2" max="2" width="45.25" bestFit="1" customWidth="1"/>
    <col min="3" max="3" width="9.83203125" bestFit="1" customWidth="1"/>
    <col min="4" max="5" width="10.58203125" bestFit="1" customWidth="1"/>
    <col min="6" max="6" width="8.83203125" bestFit="1" customWidth="1"/>
    <col min="7" max="7" width="21.08203125" bestFit="1" customWidth="1"/>
    <col min="8" max="8" width="5.75" bestFit="1" customWidth="1"/>
    <col min="10" max="11" width="14.08203125" bestFit="1" customWidth="1"/>
  </cols>
  <sheetData>
    <row r="1" spans="2:11" ht="14.5" thickBot="1" x14ac:dyDescent="0.35"/>
    <row r="2" spans="2:11" ht="14.5" thickBot="1" x14ac:dyDescent="0.35">
      <c r="B2" s="56" t="s">
        <v>116</v>
      </c>
      <c r="C2" s="57" t="s">
        <v>63</v>
      </c>
      <c r="D2" s="58">
        <v>2023</v>
      </c>
      <c r="E2" s="58">
        <v>2022</v>
      </c>
      <c r="F2" s="58" t="s">
        <v>64</v>
      </c>
      <c r="G2" s="58" t="s">
        <v>65</v>
      </c>
      <c r="H2" s="59" t="s">
        <v>66</v>
      </c>
    </row>
    <row r="3" spans="2:11" ht="14.5" thickBot="1" x14ac:dyDescent="0.35">
      <c r="B3" s="40" t="s">
        <v>117</v>
      </c>
      <c r="C3" s="41"/>
      <c r="D3" s="43"/>
      <c r="E3" s="43"/>
      <c r="F3" s="43"/>
      <c r="G3" s="43"/>
      <c r="H3" s="44"/>
      <c r="J3" s="7" t="s">
        <v>118</v>
      </c>
      <c r="K3" s="7" t="s">
        <v>119</v>
      </c>
    </row>
    <row r="4" spans="2:11" x14ac:dyDescent="0.3">
      <c r="B4" s="27" t="s">
        <v>120</v>
      </c>
      <c r="C4" t="s">
        <v>121</v>
      </c>
      <c r="D4" s="45">
        <v>6409</v>
      </c>
      <c r="E4" s="45">
        <v>6771</v>
      </c>
      <c r="F4" s="24">
        <f t="shared" ref="F4:F11" si="0">D4/E4-1</f>
        <v>-5.3463299364938655E-2</v>
      </c>
      <c r="G4" s="1" t="s">
        <v>73</v>
      </c>
      <c r="H4" s="32">
        <v>122</v>
      </c>
      <c r="J4" s="7">
        <f>48+249+7+81</f>
        <v>385</v>
      </c>
      <c r="K4" s="7">
        <f>47+260+10+79</f>
        <v>396</v>
      </c>
    </row>
    <row r="5" spans="2:11" x14ac:dyDescent="0.3">
      <c r="B5" s="25" t="s">
        <v>122</v>
      </c>
      <c r="D5" s="46">
        <f>(6143+139)/D4</f>
        <v>0.98018411608675304</v>
      </c>
      <c r="E5" s="46">
        <f>(6476+151)/E4</f>
        <v>0.97873283119184762</v>
      </c>
      <c r="F5" s="24">
        <f t="shared" si="0"/>
        <v>1.482820284201658E-3</v>
      </c>
      <c r="G5" s="1" t="s">
        <v>73</v>
      </c>
      <c r="H5" s="32">
        <v>122</v>
      </c>
    </row>
    <row r="6" spans="2:11" x14ac:dyDescent="0.3">
      <c r="B6" s="25" t="s">
        <v>123</v>
      </c>
      <c r="D6" s="46">
        <f>(116+11)/D4</f>
        <v>1.9815883913246995E-2</v>
      </c>
      <c r="E6" s="46">
        <f>(126+18)/E4</f>
        <v>2.1267168808152416E-2</v>
      </c>
      <c r="F6" s="24">
        <f t="shared" si="0"/>
        <v>-6.8240625162532043E-2</v>
      </c>
      <c r="G6" s="1" t="s">
        <v>73</v>
      </c>
      <c r="H6" s="32">
        <v>122</v>
      </c>
    </row>
    <row r="7" spans="2:11" x14ac:dyDescent="0.3">
      <c r="B7" s="25" t="s">
        <v>124</v>
      </c>
      <c r="D7" s="46">
        <f>2220/D4</f>
        <v>0.34638789202683729</v>
      </c>
      <c r="E7" s="46">
        <f>2365/E4</f>
        <v>0.34928370993944763</v>
      </c>
      <c r="F7" s="24">
        <f t="shared" si="0"/>
        <v>-8.2907328060399799E-3</v>
      </c>
      <c r="G7" s="1" t="s">
        <v>73</v>
      </c>
      <c r="H7" s="32">
        <v>129</v>
      </c>
    </row>
    <row r="8" spans="2:11" x14ac:dyDescent="0.3">
      <c r="B8" s="25" t="s">
        <v>125</v>
      </c>
      <c r="D8" s="46">
        <f>88/J4</f>
        <v>0.22857142857142856</v>
      </c>
      <c r="E8" s="46">
        <f>89/K4</f>
        <v>0.22474747474747475</v>
      </c>
      <c r="F8" s="24">
        <f t="shared" si="0"/>
        <v>1.7014446227929358E-2</v>
      </c>
      <c r="G8" s="92">
        <v>0.38</v>
      </c>
      <c r="H8" s="32">
        <v>129</v>
      </c>
    </row>
    <row r="9" spans="2:11" x14ac:dyDescent="0.3">
      <c r="B9" s="25" t="s">
        <v>126</v>
      </c>
      <c r="D9" s="46">
        <f>47/D4</f>
        <v>7.3334373537213291E-3</v>
      </c>
      <c r="E9" s="46">
        <f>51/E4</f>
        <v>7.5321222862206466E-3</v>
      </c>
      <c r="F9" s="24">
        <f t="shared" si="0"/>
        <v>-2.6378346626527049E-2</v>
      </c>
      <c r="G9" s="1" t="s">
        <v>73</v>
      </c>
      <c r="H9" s="32">
        <v>132</v>
      </c>
    </row>
    <row r="10" spans="2:11" x14ac:dyDescent="0.3">
      <c r="B10" s="27" t="s">
        <v>127</v>
      </c>
      <c r="D10" s="45">
        <f>241+683+259</f>
        <v>1183</v>
      </c>
      <c r="E10" s="45">
        <f>414+815+290</f>
        <v>1519</v>
      </c>
      <c r="F10" s="24">
        <f t="shared" si="0"/>
        <v>-0.22119815668202769</v>
      </c>
      <c r="G10" s="1" t="s">
        <v>73</v>
      </c>
      <c r="H10" s="32">
        <v>229</v>
      </c>
    </row>
    <row r="11" spans="2:11" ht="14.5" thickBot="1" x14ac:dyDescent="0.35">
      <c r="B11" s="27" t="s">
        <v>128</v>
      </c>
      <c r="D11" s="46">
        <v>0.49</v>
      </c>
      <c r="E11" s="46">
        <v>0.48</v>
      </c>
      <c r="F11" s="24">
        <f t="shared" si="0"/>
        <v>2.0833333333333259E-2</v>
      </c>
      <c r="G11" s="1" t="s">
        <v>73</v>
      </c>
      <c r="H11" s="32">
        <v>124</v>
      </c>
    </row>
    <row r="12" spans="2:11" ht="14.5" thickBot="1" x14ac:dyDescent="0.35">
      <c r="B12" s="40" t="s">
        <v>129</v>
      </c>
      <c r="C12" s="41"/>
      <c r="D12" s="43"/>
      <c r="E12" s="43"/>
      <c r="F12" s="43"/>
      <c r="G12" s="43"/>
      <c r="H12" s="44"/>
    </row>
    <row r="13" spans="2:11" x14ac:dyDescent="0.3">
      <c r="B13" s="27" t="s">
        <v>130</v>
      </c>
      <c r="D13" s="46">
        <v>0.81</v>
      </c>
      <c r="E13" s="46">
        <v>0.74</v>
      </c>
      <c r="F13" s="24">
        <f t="shared" ref="F13:F15" si="1">D13/E13-1</f>
        <v>9.4594594594594739E-2</v>
      </c>
      <c r="G13" s="79">
        <v>0.81</v>
      </c>
      <c r="H13" s="32">
        <v>123</v>
      </c>
    </row>
    <row r="14" spans="2:11" x14ac:dyDescent="0.3">
      <c r="B14" s="27" t="s">
        <v>131</v>
      </c>
      <c r="D14" s="46">
        <v>0.89</v>
      </c>
      <c r="E14" s="46">
        <v>0.9</v>
      </c>
      <c r="F14" s="24">
        <f t="shared" si="1"/>
        <v>-1.1111111111111072E-2</v>
      </c>
      <c r="G14" s="79">
        <v>0.89</v>
      </c>
      <c r="H14" s="32">
        <v>123</v>
      </c>
    </row>
    <row r="15" spans="2:11" ht="14.5" thickBot="1" x14ac:dyDescent="0.35">
      <c r="B15" s="27" t="s">
        <v>132</v>
      </c>
      <c r="D15" s="45">
        <v>31</v>
      </c>
      <c r="E15" s="45">
        <v>36</v>
      </c>
      <c r="F15" s="24">
        <f t="shared" si="1"/>
        <v>-0.13888888888888884</v>
      </c>
      <c r="G15" s="1"/>
      <c r="H15" s="32">
        <v>123</v>
      </c>
    </row>
    <row r="16" spans="2:11" ht="14.5" thickBot="1" x14ac:dyDescent="0.35">
      <c r="B16" s="40" t="s">
        <v>133</v>
      </c>
      <c r="C16" s="41"/>
      <c r="D16" s="42"/>
      <c r="E16" s="42"/>
      <c r="F16" s="43"/>
      <c r="G16" s="43"/>
      <c r="H16" s="44"/>
    </row>
    <row r="17" spans="2:8" x14ac:dyDescent="0.3">
      <c r="B17" s="27" t="s">
        <v>134</v>
      </c>
      <c r="D17" s="45">
        <v>150988</v>
      </c>
      <c r="E17" s="45">
        <v>108596</v>
      </c>
      <c r="F17" s="24">
        <f t="shared" ref="F17:F20" si="2">D17/E17-1</f>
        <v>0.39036428597738415</v>
      </c>
      <c r="G17" s="1" t="s">
        <v>73</v>
      </c>
      <c r="H17" s="32">
        <v>136</v>
      </c>
    </row>
    <row r="18" spans="2:8" x14ac:dyDescent="0.3">
      <c r="B18" s="27" t="s">
        <v>135</v>
      </c>
      <c r="D18" s="47">
        <v>22.2</v>
      </c>
      <c r="E18" s="47">
        <v>14.8</v>
      </c>
      <c r="F18" s="24">
        <f t="shared" si="2"/>
        <v>0.49999999999999978</v>
      </c>
      <c r="G18" s="1" t="s">
        <v>73</v>
      </c>
      <c r="H18" s="32">
        <v>136</v>
      </c>
    </row>
    <row r="19" spans="2:8" x14ac:dyDescent="0.3">
      <c r="B19" s="29" t="s">
        <v>136</v>
      </c>
      <c r="D19" s="45">
        <v>1155963</v>
      </c>
      <c r="E19" s="45">
        <v>1496000</v>
      </c>
      <c r="F19" s="24">
        <f t="shared" si="2"/>
        <v>-0.22729745989304817</v>
      </c>
      <c r="G19" s="1" t="s">
        <v>73</v>
      </c>
      <c r="H19" s="32">
        <v>136</v>
      </c>
    </row>
    <row r="20" spans="2:8" ht="14.5" thickBot="1" x14ac:dyDescent="0.35">
      <c r="B20" s="27" t="s">
        <v>137</v>
      </c>
      <c r="D20" s="46">
        <v>0.91</v>
      </c>
      <c r="E20" s="46">
        <v>0.88</v>
      </c>
      <c r="F20" s="24">
        <f t="shared" si="2"/>
        <v>3.4090909090909172E-2</v>
      </c>
      <c r="G20" s="1" t="s">
        <v>73</v>
      </c>
      <c r="H20" s="32">
        <v>140</v>
      </c>
    </row>
    <row r="21" spans="2:8" ht="14.5" thickBot="1" x14ac:dyDescent="0.35">
      <c r="B21" s="40" t="s">
        <v>138</v>
      </c>
      <c r="C21" s="41"/>
      <c r="D21" s="43"/>
      <c r="E21" s="43"/>
      <c r="F21" s="43"/>
      <c r="G21" s="43"/>
      <c r="H21" s="44"/>
    </row>
    <row r="22" spans="2:8" x14ac:dyDescent="0.3">
      <c r="B22" s="27" t="s">
        <v>139</v>
      </c>
      <c r="C22" s="48"/>
      <c r="D22" s="48">
        <v>43138</v>
      </c>
      <c r="E22" s="48">
        <v>40556</v>
      </c>
      <c r="F22" s="24">
        <f t="shared" ref="F22:F24" si="3">D22/E22-1</f>
        <v>6.3665055725416808E-2</v>
      </c>
      <c r="G22" s="7" t="s">
        <v>73</v>
      </c>
      <c r="H22" s="32">
        <v>142</v>
      </c>
    </row>
    <row r="23" spans="2:8" x14ac:dyDescent="0.3">
      <c r="B23" s="27" t="s">
        <v>140</v>
      </c>
      <c r="C23" s="49"/>
      <c r="D23" s="49">
        <v>1.7000000000000001E-2</v>
      </c>
      <c r="E23" s="49">
        <v>3.3000000000000002E-2</v>
      </c>
      <c r="F23" s="24">
        <f t="shared" si="3"/>
        <v>-0.48484848484848486</v>
      </c>
      <c r="G23" s="7" t="s">
        <v>141</v>
      </c>
      <c r="H23" s="32">
        <v>141</v>
      </c>
    </row>
    <row r="24" spans="2:8" x14ac:dyDescent="0.3">
      <c r="B24" s="27" t="s">
        <v>142</v>
      </c>
      <c r="C24" s="50"/>
      <c r="D24" s="50">
        <v>0.18</v>
      </c>
      <c r="E24" s="49">
        <v>0.20100000000000001</v>
      </c>
      <c r="F24" s="24">
        <f t="shared" si="3"/>
        <v>-0.10447761194029859</v>
      </c>
      <c r="G24" s="7" t="s">
        <v>73</v>
      </c>
      <c r="H24" s="32">
        <v>141</v>
      </c>
    </row>
    <row r="25" spans="2:8" ht="14.5" thickBot="1" x14ac:dyDescent="0.35">
      <c r="B25" s="27" t="s">
        <v>143</v>
      </c>
      <c r="D25">
        <v>43.49</v>
      </c>
      <c r="E25" t="s">
        <v>115</v>
      </c>
      <c r="F25" s="24" t="s">
        <v>73</v>
      </c>
      <c r="G25" s="7" t="s">
        <v>73</v>
      </c>
      <c r="H25" s="32">
        <v>142</v>
      </c>
    </row>
    <row r="26" spans="2:8" ht="14.5" thickBot="1" x14ac:dyDescent="0.35">
      <c r="B26" s="40" t="s">
        <v>144</v>
      </c>
      <c r="C26" s="41"/>
      <c r="D26" s="43"/>
      <c r="E26" s="43"/>
      <c r="F26" s="43"/>
      <c r="G26" s="43"/>
      <c r="H26" s="44"/>
    </row>
    <row r="27" spans="2:8" x14ac:dyDescent="0.3">
      <c r="B27" s="27" t="s">
        <v>145</v>
      </c>
      <c r="D27" s="89">
        <v>0.91</v>
      </c>
      <c r="E27" s="89" t="s">
        <v>114</v>
      </c>
      <c r="F27" s="24" t="e">
        <f t="shared" ref="F27:F29" si="4">D27/E27-1</f>
        <v>#VALUE!</v>
      </c>
      <c r="G27" s="1">
        <v>0.8</v>
      </c>
      <c r="H27" s="32">
        <v>149</v>
      </c>
    </row>
    <row r="28" spans="2:8" x14ac:dyDescent="0.3">
      <c r="B28" s="27" t="s">
        <v>146</v>
      </c>
      <c r="D28" s="89" t="s">
        <v>114</v>
      </c>
      <c r="E28" s="89" t="s">
        <v>114</v>
      </c>
      <c r="F28" s="24" t="e">
        <f t="shared" si="4"/>
        <v>#VALUE!</v>
      </c>
      <c r="G28" s="1" t="s">
        <v>73</v>
      </c>
      <c r="H28" s="32">
        <v>149</v>
      </c>
    </row>
    <row r="29" spans="2:8" x14ac:dyDescent="0.3">
      <c r="B29" s="27" t="s">
        <v>147</v>
      </c>
      <c r="D29" s="89">
        <v>7.0000000000000007E-2</v>
      </c>
      <c r="E29" s="89">
        <v>0.03</v>
      </c>
      <c r="F29" s="24">
        <f t="shared" si="4"/>
        <v>1.3333333333333335</v>
      </c>
      <c r="G29" s="1" t="s">
        <v>73</v>
      </c>
      <c r="H29" s="32">
        <v>149</v>
      </c>
    </row>
    <row r="30" spans="2:8" x14ac:dyDescent="0.3">
      <c r="B30" s="27" t="s">
        <v>148</v>
      </c>
      <c r="D30" s="90">
        <v>0</v>
      </c>
      <c r="E30" s="90">
        <v>0</v>
      </c>
      <c r="F30" s="24" t="s">
        <v>73</v>
      </c>
      <c r="G30" s="1" t="s">
        <v>73</v>
      </c>
      <c r="H30" s="32">
        <v>149</v>
      </c>
    </row>
    <row r="31" spans="2:8" ht="14.5" thickBot="1" x14ac:dyDescent="0.35">
      <c r="B31" s="27" t="s">
        <v>149</v>
      </c>
      <c r="D31" s="89">
        <v>2</v>
      </c>
      <c r="E31" s="89">
        <v>7.0000000000000007E-2</v>
      </c>
      <c r="F31" s="24">
        <v>1</v>
      </c>
      <c r="G31" s="1" t="s">
        <v>73</v>
      </c>
      <c r="H31" s="32">
        <v>149</v>
      </c>
    </row>
    <row r="32" spans="2:8" ht="14.5" thickBot="1" x14ac:dyDescent="0.35">
      <c r="B32" s="40" t="s">
        <v>150</v>
      </c>
      <c r="C32" s="41"/>
      <c r="D32" s="43"/>
      <c r="E32" s="43"/>
      <c r="F32" s="43"/>
      <c r="G32" s="43"/>
      <c r="H32" s="44"/>
    </row>
    <row r="33" spans="2:8" x14ac:dyDescent="0.3">
      <c r="B33" s="27" t="s">
        <v>151</v>
      </c>
      <c r="D33" s="51">
        <v>945169</v>
      </c>
      <c r="E33" s="51">
        <v>1007665</v>
      </c>
      <c r="F33" s="24">
        <f t="shared" ref="F33:F34" si="5">D33/E33-1</f>
        <v>-6.202061200895137E-2</v>
      </c>
      <c r="G33" s="1" t="s">
        <v>73</v>
      </c>
      <c r="H33" s="32">
        <v>150</v>
      </c>
    </row>
    <row r="34" spans="2:8" ht="14.5" thickBot="1" x14ac:dyDescent="0.35">
      <c r="B34" s="52" t="s">
        <v>152</v>
      </c>
      <c r="C34" s="37"/>
      <c r="D34" s="53">
        <v>28055</v>
      </c>
      <c r="E34" s="53">
        <v>12116</v>
      </c>
      <c r="F34" s="88">
        <f t="shared" si="5"/>
        <v>1.315533179267085</v>
      </c>
      <c r="G34" s="54">
        <v>17500</v>
      </c>
      <c r="H34" s="55">
        <v>51</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C6107-BEBA-4D83-8491-6A02694ED44C}">
  <dimension ref="B1:H34"/>
  <sheetViews>
    <sheetView zoomScale="90" zoomScaleNormal="90" workbookViewId="0">
      <selection activeCell="H34" sqref="B2:H34"/>
    </sheetView>
  </sheetViews>
  <sheetFormatPr baseColWidth="10" defaultColWidth="11" defaultRowHeight="14" x14ac:dyDescent="0.3"/>
  <cols>
    <col min="1" max="1" width="2.83203125" customWidth="1"/>
    <col min="2" max="2" width="44.5" customWidth="1"/>
    <col min="3" max="3" width="5" bestFit="1" customWidth="1"/>
    <col min="4" max="4" width="10.83203125" style="13" customWidth="1"/>
    <col min="5" max="6" width="10.83203125" customWidth="1"/>
    <col min="7" max="7" width="21.08203125" bestFit="1" customWidth="1"/>
    <col min="8" max="8" width="5.75" bestFit="1" customWidth="1"/>
  </cols>
  <sheetData>
    <row r="1" spans="2:8" ht="14.5" thickBot="1" x14ac:dyDescent="0.35"/>
    <row r="2" spans="2:8" ht="14.5" thickBot="1" x14ac:dyDescent="0.35">
      <c r="B2" s="18" t="s">
        <v>153</v>
      </c>
      <c r="C2" s="19" t="s">
        <v>63</v>
      </c>
      <c r="D2" s="20">
        <v>2023</v>
      </c>
      <c r="E2" s="21">
        <v>2022</v>
      </c>
      <c r="F2" s="21" t="s">
        <v>64</v>
      </c>
      <c r="G2" s="21" t="s">
        <v>65</v>
      </c>
      <c r="H2" s="22" t="s">
        <v>66</v>
      </c>
    </row>
    <row r="3" spans="2:8" ht="14.5" thickBot="1" x14ac:dyDescent="0.35">
      <c r="B3" s="40" t="s">
        <v>154</v>
      </c>
      <c r="C3" s="41"/>
      <c r="D3" s="42"/>
      <c r="E3" s="43"/>
      <c r="F3" s="43"/>
      <c r="G3" s="43"/>
      <c r="H3" s="44"/>
    </row>
    <row r="4" spans="2:8" x14ac:dyDescent="0.3">
      <c r="B4" s="23" t="s">
        <v>155</v>
      </c>
      <c r="C4" s="10"/>
      <c r="D4" s="16">
        <v>13</v>
      </c>
      <c r="E4" s="16">
        <v>12</v>
      </c>
      <c r="F4" s="74">
        <f>D4/E4-1</f>
        <v>8.3333333333333259E-2</v>
      </c>
      <c r="G4" s="7" t="s">
        <v>73</v>
      </c>
      <c r="H4" s="75">
        <v>158</v>
      </c>
    </row>
    <row r="5" spans="2:8" x14ac:dyDescent="0.3">
      <c r="B5" s="25" t="s">
        <v>156</v>
      </c>
      <c r="D5" s="26">
        <f>2/D4</f>
        <v>0.15384615384615385</v>
      </c>
      <c r="E5" s="26">
        <f>2/E4</f>
        <v>0.16666666666666666</v>
      </c>
      <c r="F5" s="24">
        <f t="shared" ref="F5:F33" si="0">D5/E5-1</f>
        <v>-7.6923076923076872E-2</v>
      </c>
      <c r="G5" s="7" t="s">
        <v>73</v>
      </c>
      <c r="H5" s="75">
        <v>158</v>
      </c>
    </row>
    <row r="6" spans="2:8" x14ac:dyDescent="0.3">
      <c r="B6" s="25" t="s">
        <v>157</v>
      </c>
      <c r="D6" s="26">
        <f>6/D4</f>
        <v>0.46153846153846156</v>
      </c>
      <c r="E6" s="26">
        <f>5/E4</f>
        <v>0.41666666666666669</v>
      </c>
      <c r="F6" s="24">
        <f t="shared" si="0"/>
        <v>0.10769230769230775</v>
      </c>
      <c r="G6" s="7" t="s">
        <v>73</v>
      </c>
      <c r="H6" s="75">
        <v>158</v>
      </c>
    </row>
    <row r="7" spans="2:8" x14ac:dyDescent="0.3">
      <c r="B7" s="25" t="s">
        <v>158</v>
      </c>
      <c r="D7" s="26">
        <f>5/D4</f>
        <v>0.38461538461538464</v>
      </c>
      <c r="E7" s="26">
        <f>5/E4</f>
        <v>0.41666666666666669</v>
      </c>
      <c r="F7" s="24">
        <f t="shared" si="0"/>
        <v>-7.6923076923076872E-2</v>
      </c>
      <c r="G7" s="7" t="s">
        <v>73</v>
      </c>
      <c r="H7" s="75">
        <v>158</v>
      </c>
    </row>
    <row r="8" spans="2:8" x14ac:dyDescent="0.3">
      <c r="B8" s="25" t="s">
        <v>159</v>
      </c>
      <c r="D8" s="26">
        <f>3/D4</f>
        <v>0.23076923076923078</v>
      </c>
      <c r="E8" s="26">
        <f>2/E4</f>
        <v>0.16666666666666666</v>
      </c>
      <c r="F8" s="24">
        <f t="shared" si="0"/>
        <v>0.3846153846153848</v>
      </c>
      <c r="G8" s="91">
        <v>0.23100000000000001</v>
      </c>
      <c r="H8" s="75">
        <v>158</v>
      </c>
    </row>
    <row r="9" spans="2:8" x14ac:dyDescent="0.3">
      <c r="B9" s="23" t="s">
        <v>160</v>
      </c>
      <c r="C9" s="10"/>
      <c r="D9" s="16">
        <v>11</v>
      </c>
      <c r="E9" s="16">
        <v>10</v>
      </c>
      <c r="F9" s="74">
        <f t="shared" si="0"/>
        <v>0.10000000000000009</v>
      </c>
      <c r="G9" s="7" t="s">
        <v>73</v>
      </c>
      <c r="H9" s="75">
        <v>163</v>
      </c>
    </row>
    <row r="10" spans="2:8" ht="14.5" thickBot="1" x14ac:dyDescent="0.35">
      <c r="B10" s="25" t="s">
        <v>161</v>
      </c>
      <c r="D10" s="26">
        <f>3/D9</f>
        <v>0.27272727272727271</v>
      </c>
      <c r="E10" s="26">
        <f>1/E9</f>
        <v>0.1</v>
      </c>
      <c r="F10" s="24">
        <f t="shared" si="0"/>
        <v>1.7272727272727271</v>
      </c>
      <c r="G10" s="93">
        <v>0.38</v>
      </c>
      <c r="H10" s="75">
        <v>163</v>
      </c>
    </row>
    <row r="11" spans="2:8" ht="14.5" thickBot="1" x14ac:dyDescent="0.35">
      <c r="B11" s="40" t="s">
        <v>162</v>
      </c>
      <c r="C11" s="41"/>
      <c r="D11" s="42"/>
      <c r="E11" s="42"/>
      <c r="F11" s="42"/>
      <c r="G11" s="43"/>
      <c r="H11" s="76"/>
    </row>
    <row r="12" spans="2:8" ht="14.5" thickBot="1" x14ac:dyDescent="0.35">
      <c r="B12" s="27" t="s">
        <v>163</v>
      </c>
      <c r="D12" s="13">
        <v>13</v>
      </c>
      <c r="E12" s="13">
        <v>21</v>
      </c>
      <c r="F12" s="24">
        <f t="shared" si="0"/>
        <v>-0.38095238095238093</v>
      </c>
      <c r="G12" s="7" t="s">
        <v>73</v>
      </c>
      <c r="H12" s="75">
        <v>178</v>
      </c>
    </row>
    <row r="13" spans="2:8" ht="14.5" thickBot="1" x14ac:dyDescent="0.35">
      <c r="B13" s="40" t="s">
        <v>164</v>
      </c>
      <c r="C13" s="41"/>
      <c r="D13" s="42"/>
      <c r="E13" s="42"/>
      <c r="F13" s="42"/>
      <c r="G13" s="43"/>
      <c r="H13" s="76"/>
    </row>
    <row r="14" spans="2:8" x14ac:dyDescent="0.3">
      <c r="B14" s="27" t="s">
        <v>165</v>
      </c>
      <c r="D14" s="28">
        <v>7.83</v>
      </c>
      <c r="E14" s="28">
        <v>7.7</v>
      </c>
      <c r="F14" s="24">
        <f t="shared" si="0"/>
        <v>1.6883116883116944E-2</v>
      </c>
      <c r="H14" s="75">
        <v>202</v>
      </c>
    </row>
    <row r="15" spans="2:8" x14ac:dyDescent="0.3">
      <c r="B15" s="25" t="s">
        <v>166</v>
      </c>
      <c r="D15" s="28">
        <v>9.0500000000000007</v>
      </c>
      <c r="E15" s="28">
        <v>9.06</v>
      </c>
      <c r="F15" s="24">
        <f t="shared" si="0"/>
        <v>-1.1037527593819041E-3</v>
      </c>
      <c r="H15" s="75">
        <v>202</v>
      </c>
    </row>
    <row r="16" spans="2:8" x14ac:dyDescent="0.3">
      <c r="B16" s="25" t="s">
        <v>167</v>
      </c>
      <c r="D16" s="28">
        <v>6.97</v>
      </c>
      <c r="E16" s="28">
        <v>6.55</v>
      </c>
      <c r="F16" s="24">
        <f t="shared" si="0"/>
        <v>6.4122137404580171E-2</v>
      </c>
      <c r="H16" s="75">
        <v>202</v>
      </c>
    </row>
    <row r="17" spans="2:8" ht="14.5" thickBot="1" x14ac:dyDescent="0.35">
      <c r="B17" s="25" t="s">
        <v>168</v>
      </c>
      <c r="D17" s="28">
        <v>7.15</v>
      </c>
      <c r="E17" s="28">
        <v>7.31</v>
      </c>
      <c r="F17" s="24">
        <f t="shared" si="0"/>
        <v>-2.1887824897400709E-2</v>
      </c>
      <c r="H17" s="75">
        <v>202</v>
      </c>
    </row>
    <row r="18" spans="2:8" ht="14.5" thickBot="1" x14ac:dyDescent="0.35">
      <c r="B18" s="40" t="s">
        <v>169</v>
      </c>
      <c r="C18" s="41"/>
      <c r="D18" s="42"/>
      <c r="E18" s="42"/>
      <c r="F18" s="42"/>
      <c r="G18" s="43"/>
      <c r="H18" s="76"/>
    </row>
    <row r="19" spans="2:8" x14ac:dyDescent="0.3">
      <c r="B19" s="29" t="s">
        <v>170</v>
      </c>
      <c r="C19" s="13" t="s">
        <v>171</v>
      </c>
      <c r="D19" s="30">
        <f>SUM(D20:D21)</f>
        <v>86996</v>
      </c>
      <c r="E19" s="30">
        <f>SUM(E20:E21)</f>
        <v>146840</v>
      </c>
      <c r="F19" s="74">
        <f t="shared" si="0"/>
        <v>-0.40754562789430671</v>
      </c>
      <c r="G19" s="7" t="s">
        <v>73</v>
      </c>
      <c r="H19" s="75">
        <v>204</v>
      </c>
    </row>
    <row r="20" spans="2:8" x14ac:dyDescent="0.3">
      <c r="B20" s="25" t="s">
        <v>172</v>
      </c>
      <c r="C20" s="13" t="s">
        <v>171</v>
      </c>
      <c r="D20" s="31">
        <v>32586</v>
      </c>
      <c r="E20" s="31">
        <v>93495</v>
      </c>
      <c r="F20" s="24">
        <f t="shared" si="0"/>
        <v>-0.65146799294079893</v>
      </c>
      <c r="G20" s="7" t="s">
        <v>73</v>
      </c>
      <c r="H20" s="75">
        <v>204</v>
      </c>
    </row>
    <row r="21" spans="2:8" x14ac:dyDescent="0.3">
      <c r="B21" s="25" t="s">
        <v>173</v>
      </c>
      <c r="C21" s="13" t="s">
        <v>171</v>
      </c>
      <c r="D21" s="31">
        <v>54410</v>
      </c>
      <c r="E21" s="31">
        <v>53345</v>
      </c>
      <c r="F21" s="24">
        <f t="shared" si="0"/>
        <v>1.9964382791264335E-2</v>
      </c>
      <c r="G21" s="7" t="s">
        <v>73</v>
      </c>
      <c r="H21" s="75">
        <v>204</v>
      </c>
    </row>
    <row r="22" spans="2:8" x14ac:dyDescent="0.3">
      <c r="B22" s="29" t="s">
        <v>174</v>
      </c>
      <c r="C22" s="13" t="s">
        <v>171</v>
      </c>
      <c r="D22" s="30">
        <f>SUM(D23:D24)</f>
        <v>217243</v>
      </c>
      <c r="E22" s="30">
        <f>SUM(E23:E24)</f>
        <v>150746</v>
      </c>
      <c r="F22" s="74">
        <f t="shared" si="0"/>
        <v>0.4411194990248497</v>
      </c>
      <c r="G22" s="7" t="s">
        <v>73</v>
      </c>
      <c r="H22" s="75">
        <v>204</v>
      </c>
    </row>
    <row r="23" spans="2:8" x14ac:dyDescent="0.3">
      <c r="B23" s="25" t="s">
        <v>175</v>
      </c>
      <c r="C23" s="13" t="s">
        <v>171</v>
      </c>
      <c r="D23" s="31">
        <v>105040</v>
      </c>
      <c r="E23" s="31">
        <v>85632</v>
      </c>
      <c r="F23" s="24">
        <f t="shared" si="0"/>
        <v>0.22664424514200299</v>
      </c>
      <c r="G23" s="7" t="s">
        <v>73</v>
      </c>
      <c r="H23" s="75">
        <v>204</v>
      </c>
    </row>
    <row r="24" spans="2:8" ht="14.5" thickBot="1" x14ac:dyDescent="0.35">
      <c r="B24" s="25" t="s">
        <v>176</v>
      </c>
      <c r="C24" s="13" t="s">
        <v>171</v>
      </c>
      <c r="D24" s="31">
        <v>112203</v>
      </c>
      <c r="E24" s="31">
        <v>65114</v>
      </c>
      <c r="F24" s="24">
        <f t="shared" si="0"/>
        <v>0.72317781122339286</v>
      </c>
      <c r="G24" s="7" t="s">
        <v>73</v>
      </c>
      <c r="H24" s="75">
        <v>204</v>
      </c>
    </row>
    <row r="25" spans="2:8" ht="14.5" thickBot="1" x14ac:dyDescent="0.35">
      <c r="B25" s="40" t="s">
        <v>177</v>
      </c>
      <c r="C25" s="41"/>
      <c r="D25" s="42"/>
      <c r="E25" s="42"/>
      <c r="F25" s="42"/>
      <c r="G25" s="43"/>
      <c r="H25" s="76"/>
    </row>
    <row r="26" spans="2:8" x14ac:dyDescent="0.3">
      <c r="B26" s="25" t="s">
        <v>178</v>
      </c>
      <c r="D26" s="17">
        <v>15007</v>
      </c>
      <c r="E26" s="17">
        <v>16300</v>
      </c>
      <c r="F26" s="24">
        <f t="shared" si="0"/>
        <v>-7.9325153374233182E-2</v>
      </c>
      <c r="G26" s="1" t="s">
        <v>73</v>
      </c>
      <c r="H26" s="77">
        <v>185</v>
      </c>
    </row>
    <row r="27" spans="2:8" x14ac:dyDescent="0.3">
      <c r="B27" s="25" t="s">
        <v>179</v>
      </c>
      <c r="D27" s="33">
        <f>62/D26</f>
        <v>4.1314053441727193E-3</v>
      </c>
      <c r="E27" s="33" t="s">
        <v>115</v>
      </c>
      <c r="F27" s="24" t="s">
        <v>115</v>
      </c>
      <c r="G27" s="1" t="s">
        <v>73</v>
      </c>
      <c r="H27" s="77">
        <v>188</v>
      </c>
    </row>
    <row r="28" spans="2:8" x14ac:dyDescent="0.3">
      <c r="B28" s="25" t="s">
        <v>180</v>
      </c>
      <c r="D28" s="17">
        <v>29</v>
      </c>
      <c r="E28" s="17" t="s">
        <v>115</v>
      </c>
      <c r="F28" s="24" t="s">
        <v>115</v>
      </c>
      <c r="G28" s="1"/>
      <c r="H28" s="77">
        <v>188</v>
      </c>
    </row>
    <row r="29" spans="2:8" ht="14.5" thickBot="1" x14ac:dyDescent="0.35">
      <c r="B29" s="25" t="s">
        <v>181</v>
      </c>
      <c r="D29" s="33">
        <f>49/62</f>
        <v>0.79032258064516125</v>
      </c>
      <c r="E29" s="34">
        <v>0.55000000000000004</v>
      </c>
      <c r="F29" s="24">
        <f t="shared" si="0"/>
        <v>0.43695014662756582</v>
      </c>
      <c r="G29" s="79">
        <v>0.7</v>
      </c>
      <c r="H29" s="77">
        <v>187</v>
      </c>
    </row>
    <row r="30" spans="2:8" ht="14.5" thickBot="1" x14ac:dyDescent="0.35">
      <c r="B30" s="40" t="s">
        <v>182</v>
      </c>
      <c r="C30" s="41"/>
      <c r="D30" s="42"/>
      <c r="E30" s="42"/>
      <c r="F30" s="42"/>
      <c r="G30" s="43"/>
      <c r="H30" s="76"/>
    </row>
    <row r="31" spans="2:8" ht="14.5" thickBot="1" x14ac:dyDescent="0.35">
      <c r="B31" s="35" t="s">
        <v>183</v>
      </c>
      <c r="D31" s="13">
        <v>14</v>
      </c>
      <c r="E31" s="13">
        <v>26</v>
      </c>
      <c r="F31" s="24">
        <f t="shared" si="0"/>
        <v>-0.46153846153846156</v>
      </c>
      <c r="G31" s="7" t="s">
        <v>73</v>
      </c>
      <c r="H31" s="75">
        <v>208</v>
      </c>
    </row>
    <row r="32" spans="2:8" ht="14.5" thickBot="1" x14ac:dyDescent="0.35">
      <c r="B32" s="40" t="s">
        <v>184</v>
      </c>
      <c r="C32" s="41"/>
      <c r="D32" s="42"/>
      <c r="E32" s="42"/>
      <c r="F32" s="42"/>
      <c r="G32" s="43"/>
      <c r="H32" s="76"/>
    </row>
    <row r="33" spans="2:8" x14ac:dyDescent="0.3">
      <c r="B33" s="27" t="s">
        <v>185</v>
      </c>
      <c r="D33" s="13">
        <v>66</v>
      </c>
      <c r="E33" s="13">
        <v>63</v>
      </c>
      <c r="F33" s="24">
        <f t="shared" si="0"/>
        <v>4.7619047619047672E-2</v>
      </c>
      <c r="G33" s="7">
        <v>69</v>
      </c>
      <c r="H33" s="75">
        <v>59</v>
      </c>
    </row>
    <row r="34" spans="2:8" ht="14.5" thickBot="1" x14ac:dyDescent="0.35">
      <c r="B34" s="36" t="s">
        <v>186</v>
      </c>
      <c r="C34" s="37"/>
      <c r="D34" s="38" t="s">
        <v>187</v>
      </c>
      <c r="E34" s="38" t="s">
        <v>188</v>
      </c>
      <c r="F34" s="39" t="s">
        <v>189</v>
      </c>
      <c r="G34" s="80" t="s">
        <v>188</v>
      </c>
      <c r="H34" s="78">
        <v>59</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083C5-BA5C-4317-AAC0-5C7DE3FEBAD3}">
  <dimension ref="B2:K56"/>
  <sheetViews>
    <sheetView workbookViewId="0">
      <selection activeCell="N20" sqref="N20"/>
    </sheetView>
  </sheetViews>
  <sheetFormatPr baseColWidth="10" defaultColWidth="11" defaultRowHeight="14" x14ac:dyDescent="0.3"/>
  <cols>
    <col min="1" max="1" width="11" customWidth="1"/>
    <col min="4" max="4" width="15.75" customWidth="1"/>
    <col min="5" max="5" width="11.33203125" bestFit="1" customWidth="1"/>
  </cols>
  <sheetData>
    <row r="2" spans="2:11" x14ac:dyDescent="0.3">
      <c r="B2" s="4" t="s">
        <v>190</v>
      </c>
      <c r="C2" s="4"/>
      <c r="D2" s="5"/>
      <c r="E2" s="5"/>
      <c r="F2" s="5"/>
      <c r="G2" s="5"/>
      <c r="H2" s="5"/>
      <c r="I2" s="5"/>
      <c r="J2" s="5"/>
      <c r="K2" s="5"/>
    </row>
    <row r="3" spans="2:11" x14ac:dyDescent="0.3">
      <c r="B3" s="9" t="s">
        <v>191</v>
      </c>
      <c r="C3" s="10"/>
      <c r="D3" s="11"/>
      <c r="E3" s="12">
        <v>13</v>
      </c>
      <c r="F3" s="11"/>
      <c r="G3" s="9" t="s">
        <v>192</v>
      </c>
      <c r="H3" s="10"/>
      <c r="I3" s="11"/>
      <c r="J3" s="11">
        <v>11</v>
      </c>
    </row>
    <row r="4" spans="2:11" x14ac:dyDescent="0.3">
      <c r="B4" s="3" t="s">
        <v>193</v>
      </c>
      <c r="D4" s="1"/>
      <c r="E4" s="8">
        <f>3/E3</f>
        <v>0.23076923076923078</v>
      </c>
      <c r="F4" s="1"/>
      <c r="G4" s="3" t="s">
        <v>193</v>
      </c>
      <c r="I4" s="1"/>
      <c r="J4" s="2">
        <f>3/J3</f>
        <v>0.27272727272727271</v>
      </c>
    </row>
    <row r="5" spans="2:11" x14ac:dyDescent="0.3">
      <c r="B5" s="3" t="s">
        <v>194</v>
      </c>
      <c r="D5" s="1"/>
      <c r="E5" s="2">
        <f>10/E3</f>
        <v>0.76923076923076927</v>
      </c>
      <c r="F5" s="1"/>
      <c r="G5" s="3" t="s">
        <v>194</v>
      </c>
      <c r="I5" s="1"/>
      <c r="J5" s="2">
        <f>8/J3</f>
        <v>0.72727272727272729</v>
      </c>
    </row>
    <row r="6" spans="2:11" x14ac:dyDescent="0.3">
      <c r="D6" s="1"/>
      <c r="E6" s="1"/>
      <c r="F6" s="1"/>
      <c r="G6" s="1"/>
      <c r="H6" s="1"/>
    </row>
    <row r="7" spans="2:11" x14ac:dyDescent="0.3">
      <c r="D7" s="1"/>
      <c r="E7" s="1"/>
      <c r="F7" s="1"/>
      <c r="G7" s="1"/>
      <c r="H7" s="1"/>
    </row>
    <row r="8" spans="2:11" x14ac:dyDescent="0.3">
      <c r="D8" s="1"/>
      <c r="E8" s="1"/>
      <c r="F8" s="1"/>
      <c r="G8" s="1"/>
      <c r="H8" s="1"/>
    </row>
    <row r="9" spans="2:11" x14ac:dyDescent="0.3">
      <c r="D9" s="1"/>
      <c r="E9" s="1"/>
      <c r="F9" s="1"/>
      <c r="G9" s="1"/>
      <c r="H9" s="1"/>
    </row>
    <row r="10" spans="2:11" x14ac:dyDescent="0.3">
      <c r="D10" s="1"/>
      <c r="E10" s="1"/>
      <c r="F10" s="1"/>
      <c r="G10" s="1"/>
      <c r="H10" s="1"/>
    </row>
    <row r="11" spans="2:11" x14ac:dyDescent="0.3">
      <c r="D11" s="1"/>
      <c r="E11" s="1"/>
      <c r="F11" s="1"/>
      <c r="G11" s="1"/>
      <c r="H11" s="1"/>
    </row>
    <row r="12" spans="2:11" x14ac:dyDescent="0.3">
      <c r="D12" s="1"/>
      <c r="E12" s="1"/>
      <c r="F12" s="1"/>
      <c r="G12" s="1"/>
      <c r="H12" s="1"/>
    </row>
    <row r="13" spans="2:11" x14ac:dyDescent="0.3">
      <c r="D13" s="1"/>
      <c r="E13" s="1"/>
      <c r="F13" s="1"/>
      <c r="G13" s="1"/>
      <c r="H13" s="1"/>
    </row>
    <row r="14" spans="2:11" x14ac:dyDescent="0.3">
      <c r="D14" s="1"/>
      <c r="E14" s="1"/>
      <c r="F14" s="1"/>
      <c r="G14" s="1"/>
      <c r="H14" s="1"/>
    </row>
    <row r="15" spans="2:11" x14ac:dyDescent="0.3">
      <c r="D15" s="1"/>
      <c r="E15" s="1"/>
      <c r="F15" s="1"/>
      <c r="G15" s="1"/>
      <c r="H15" s="1"/>
    </row>
    <row r="16" spans="2:11" x14ac:dyDescent="0.3">
      <c r="D16" s="1"/>
      <c r="E16" s="1"/>
      <c r="F16" s="1"/>
      <c r="G16" s="1"/>
      <c r="H16" s="1"/>
    </row>
    <row r="17" spans="2:8" x14ac:dyDescent="0.3">
      <c r="D17" s="1"/>
      <c r="E17" s="1"/>
      <c r="F17" s="1"/>
      <c r="G17" s="1"/>
      <c r="H17" s="1"/>
    </row>
    <row r="18" spans="2:8" x14ac:dyDescent="0.3">
      <c r="F18" s="1"/>
      <c r="G18" s="1"/>
      <c r="H18" s="1"/>
    </row>
    <row r="19" spans="2:8" x14ac:dyDescent="0.3">
      <c r="B19" s="10"/>
      <c r="C19" s="10"/>
      <c r="D19" s="10"/>
      <c r="E19" s="10"/>
      <c r="F19" s="12">
        <v>2023</v>
      </c>
      <c r="G19" s="12">
        <v>2022</v>
      </c>
    </row>
    <row r="20" spans="2:8" x14ac:dyDescent="0.3">
      <c r="C20" s="10"/>
      <c r="D20" s="10"/>
      <c r="E20" s="16" t="s">
        <v>163</v>
      </c>
      <c r="F20" s="12">
        <f>SUM(F21:F27)</f>
        <v>13</v>
      </c>
      <c r="G20" s="12">
        <f>SUM(G21:G27)</f>
        <v>21</v>
      </c>
    </row>
    <row r="21" spans="2:8" x14ac:dyDescent="0.3">
      <c r="C21" t="s">
        <v>195</v>
      </c>
      <c r="F21" s="7">
        <v>0</v>
      </c>
      <c r="G21" s="7">
        <v>0</v>
      </c>
    </row>
    <row r="22" spans="2:8" x14ac:dyDescent="0.3">
      <c r="C22" t="s">
        <v>196</v>
      </c>
      <c r="F22" s="7">
        <v>0</v>
      </c>
      <c r="G22" s="7">
        <v>0</v>
      </c>
    </row>
    <row r="23" spans="2:8" x14ac:dyDescent="0.3">
      <c r="C23" t="s">
        <v>197</v>
      </c>
      <c r="F23" s="7">
        <v>0</v>
      </c>
      <c r="G23" s="7">
        <v>0</v>
      </c>
    </row>
    <row r="24" spans="2:8" x14ac:dyDescent="0.3">
      <c r="C24" t="s">
        <v>198</v>
      </c>
      <c r="F24" s="7">
        <v>1</v>
      </c>
      <c r="G24" s="7">
        <v>1</v>
      </c>
    </row>
    <row r="25" spans="2:8" x14ac:dyDescent="0.3">
      <c r="C25" t="s">
        <v>199</v>
      </c>
      <c r="F25" s="7">
        <v>0</v>
      </c>
      <c r="G25" s="7">
        <v>0</v>
      </c>
    </row>
    <row r="26" spans="2:8" x14ac:dyDescent="0.3">
      <c r="C26" t="s">
        <v>200</v>
      </c>
      <c r="F26" s="7">
        <v>3</v>
      </c>
      <c r="G26" s="7">
        <v>3</v>
      </c>
    </row>
    <row r="27" spans="2:8" x14ac:dyDescent="0.3">
      <c r="C27" t="s">
        <v>201</v>
      </c>
      <c r="F27" s="7">
        <v>9</v>
      </c>
      <c r="G27" s="7">
        <v>17</v>
      </c>
    </row>
    <row r="28" spans="2:8" x14ac:dyDescent="0.3">
      <c r="D28" s="1"/>
      <c r="E28" s="1"/>
      <c r="F28" s="1"/>
      <c r="G28" s="1"/>
      <c r="H28" s="1"/>
    </row>
    <row r="48" spans="3:4" x14ac:dyDescent="0.3">
      <c r="C48" s="13" t="s">
        <v>202</v>
      </c>
      <c r="D48" s="6">
        <v>7.83</v>
      </c>
    </row>
    <row r="49" spans="3:11" x14ac:dyDescent="0.3">
      <c r="C49" s="14" t="s">
        <v>166</v>
      </c>
      <c r="D49" s="6">
        <v>9.0500000000000007</v>
      </c>
    </row>
    <row r="50" spans="3:11" x14ac:dyDescent="0.3">
      <c r="C50" s="14" t="s">
        <v>167</v>
      </c>
      <c r="D50" s="6">
        <v>6.97</v>
      </c>
    </row>
    <row r="51" spans="3:11" x14ac:dyDescent="0.3">
      <c r="C51" s="14" t="s">
        <v>168</v>
      </c>
      <c r="D51" s="6">
        <v>7.15</v>
      </c>
    </row>
    <row r="53" spans="3:11" x14ac:dyDescent="0.3">
      <c r="C53" s="13"/>
      <c r="D53" s="7">
        <v>2023</v>
      </c>
      <c r="E53" s="7">
        <v>2022</v>
      </c>
      <c r="I53" s="13"/>
      <c r="J53" s="7">
        <v>2023</v>
      </c>
      <c r="K53" s="7">
        <v>2022</v>
      </c>
    </row>
    <row r="54" spans="3:11" x14ac:dyDescent="0.3">
      <c r="C54" s="13" t="s">
        <v>170</v>
      </c>
      <c r="D54" s="15">
        <f>SUM(D55:D56)</f>
        <v>86996</v>
      </c>
      <c r="E54" s="15">
        <f>SUM(E55:E56)</f>
        <v>146840</v>
      </c>
      <c r="I54" s="13" t="s">
        <v>174</v>
      </c>
      <c r="J54" s="15">
        <f>SUM(J55:J56)</f>
        <v>217243</v>
      </c>
      <c r="K54" s="15">
        <f>SUM(K55:K56)</f>
        <v>150746</v>
      </c>
    </row>
    <row r="55" spans="3:11" x14ac:dyDescent="0.3">
      <c r="C55" s="13" t="s">
        <v>172</v>
      </c>
      <c r="D55" s="15">
        <v>32586</v>
      </c>
      <c r="E55" s="15">
        <v>93495</v>
      </c>
      <c r="I55" s="13" t="s">
        <v>175</v>
      </c>
      <c r="J55" s="15">
        <v>105040</v>
      </c>
      <c r="K55" s="15">
        <v>85632</v>
      </c>
    </row>
    <row r="56" spans="3:11" x14ac:dyDescent="0.3">
      <c r="C56" s="13" t="s">
        <v>203</v>
      </c>
      <c r="D56" s="15">
        <v>54410</v>
      </c>
      <c r="E56" s="15">
        <v>53345</v>
      </c>
      <c r="I56" s="13" t="s">
        <v>176</v>
      </c>
      <c r="J56" s="15">
        <v>112203</v>
      </c>
      <c r="K56" s="15">
        <v>65114</v>
      </c>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8901A-2DEF-4F8D-A168-85D2CE265B49}">
  <dimension ref="B1:L116"/>
  <sheetViews>
    <sheetView showGridLines="0" tabSelected="1" zoomScale="92" zoomScaleNormal="92" workbookViewId="0">
      <pane xSplit="4" ySplit="5" topLeftCell="G6" activePane="bottomRight" state="frozen"/>
      <selection pane="topRight" activeCell="E1" sqref="E1"/>
      <selection pane="bottomLeft" activeCell="A5" sqref="A5"/>
      <selection pane="bottomRight" activeCell="J111" sqref="J111:K115"/>
    </sheetView>
  </sheetViews>
  <sheetFormatPr baseColWidth="10" defaultColWidth="11" defaultRowHeight="14" x14ac:dyDescent="0.3"/>
  <cols>
    <col min="1" max="1" width="2.75" style="185" customWidth="1"/>
    <col min="2" max="2" width="1.08203125" style="185" customWidth="1"/>
    <col min="3" max="3" width="53" style="185" customWidth="1"/>
    <col min="4" max="4" width="14.75" style="186" customWidth="1"/>
    <col min="5" max="10" width="18.25" style="187" customWidth="1"/>
    <col min="11" max="11" width="24.25" style="187" customWidth="1"/>
    <col min="12" max="12" width="1.25" style="185" customWidth="1"/>
    <col min="13" max="16384" width="11" style="185"/>
  </cols>
  <sheetData>
    <row r="1" spans="2:12" ht="11.5" customHeight="1" thickBot="1" x14ac:dyDescent="0.35"/>
    <row r="2" spans="2:12" ht="6" customHeight="1" x14ac:dyDescent="0.3">
      <c r="B2" s="173"/>
      <c r="C2" s="174"/>
      <c r="D2" s="175"/>
      <c r="E2" s="176"/>
      <c r="F2" s="176"/>
      <c r="G2" s="176"/>
      <c r="H2" s="176"/>
      <c r="I2" s="176"/>
      <c r="J2" s="176"/>
      <c r="K2" s="176"/>
      <c r="L2" s="177"/>
    </row>
    <row r="3" spans="2:12" ht="22.9" customHeight="1" x14ac:dyDescent="0.3">
      <c r="B3" s="178"/>
      <c r="C3" s="197" t="s">
        <v>204</v>
      </c>
      <c r="D3" s="102"/>
      <c r="E3" s="17"/>
      <c r="F3" s="17"/>
      <c r="G3" s="17"/>
      <c r="H3" s="17"/>
      <c r="I3" s="17"/>
      <c r="J3" s="17"/>
      <c r="K3" s="17"/>
      <c r="L3" s="179"/>
    </row>
    <row r="4" spans="2:12" ht="13.9" customHeight="1" x14ac:dyDescent="0.3">
      <c r="B4" s="178"/>
      <c r="C4" s="135" t="s">
        <v>205</v>
      </c>
      <c r="D4" s="102"/>
      <c r="E4" s="17"/>
      <c r="F4" s="17"/>
      <c r="G4" s="17"/>
      <c r="H4" s="17"/>
      <c r="I4" s="17"/>
      <c r="J4" s="17"/>
      <c r="K4" s="17"/>
      <c r="L4" s="179"/>
    </row>
    <row r="5" spans="2:12" ht="9.65" customHeight="1" x14ac:dyDescent="0.3">
      <c r="B5" s="178"/>
      <c r="C5" s="135"/>
      <c r="D5" s="102"/>
      <c r="E5" s="17"/>
      <c r="F5" s="17"/>
      <c r="G5" s="17"/>
      <c r="H5" s="17"/>
      <c r="I5" s="17"/>
      <c r="J5" s="17"/>
      <c r="K5" s="17"/>
      <c r="L5" s="179"/>
    </row>
    <row r="6" spans="2:12" x14ac:dyDescent="0.3">
      <c r="B6" s="178"/>
      <c r="C6" s="149" t="s">
        <v>62</v>
      </c>
      <c r="D6" s="150" t="s">
        <v>63</v>
      </c>
      <c r="E6" s="151">
        <v>2021</v>
      </c>
      <c r="F6" s="151">
        <v>2022</v>
      </c>
      <c r="G6" s="151">
        <v>2023</v>
      </c>
      <c r="H6" s="151">
        <v>2024</v>
      </c>
      <c r="I6" s="151">
        <v>2025</v>
      </c>
      <c r="J6" s="151" t="s">
        <v>206</v>
      </c>
      <c r="K6" s="151" t="s">
        <v>207</v>
      </c>
      <c r="L6" s="179"/>
    </row>
    <row r="7" spans="2:12" x14ac:dyDescent="0.3">
      <c r="B7" s="178"/>
      <c r="C7" s="135" t="s">
        <v>67</v>
      </c>
      <c r="D7" s="102" t="s">
        <v>68</v>
      </c>
      <c r="E7" s="96">
        <v>2186.9189999999999</v>
      </c>
      <c r="F7" s="96">
        <v>2389.2049999999999</v>
      </c>
      <c r="G7" s="96">
        <v>2050.7078809999998</v>
      </c>
      <c r="H7" s="96">
        <v>2102</v>
      </c>
      <c r="I7" s="96">
        <v>2184</v>
      </c>
      <c r="J7" s="46">
        <f>I7/E7-1</f>
        <v>-1.3347545107980086E-3</v>
      </c>
      <c r="K7" s="17">
        <v>14</v>
      </c>
      <c r="L7" s="179"/>
    </row>
    <row r="8" spans="2:12" x14ac:dyDescent="0.3">
      <c r="B8" s="178"/>
      <c r="C8" s="152" t="s">
        <v>69</v>
      </c>
      <c r="D8" s="153" t="s">
        <v>63</v>
      </c>
      <c r="E8" s="154">
        <v>2021</v>
      </c>
      <c r="F8" s="154">
        <v>2022</v>
      </c>
      <c r="G8" s="154">
        <v>2023</v>
      </c>
      <c r="H8" s="154"/>
      <c r="I8" s="154"/>
      <c r="J8" s="154" t="s">
        <v>206</v>
      </c>
      <c r="K8" s="154" t="s">
        <v>207</v>
      </c>
      <c r="L8" s="179"/>
    </row>
    <row r="9" spans="2:12" x14ac:dyDescent="0.3">
      <c r="B9" s="178"/>
      <c r="C9" s="155" t="s">
        <v>70</v>
      </c>
      <c r="D9" s="156"/>
      <c r="E9" s="157"/>
      <c r="F9" s="157"/>
      <c r="G9" s="157"/>
      <c r="H9" s="157"/>
      <c r="I9" s="157"/>
      <c r="J9" s="157"/>
      <c r="K9" s="157"/>
      <c r="L9" s="179"/>
    </row>
    <row r="10" spans="2:12" x14ac:dyDescent="0.3">
      <c r="B10" s="178"/>
      <c r="C10" s="135" t="s">
        <v>71</v>
      </c>
      <c r="D10" s="102" t="s">
        <v>208</v>
      </c>
      <c r="E10" s="96">
        <v>10658</v>
      </c>
      <c r="F10" s="96">
        <v>9892</v>
      </c>
      <c r="G10" s="96">
        <v>7934</v>
      </c>
      <c r="H10" s="96">
        <v>8225</v>
      </c>
      <c r="I10" s="96">
        <v>8242</v>
      </c>
      <c r="J10" s="224">
        <f t="shared" ref="J10:J17" si="0">I10/E10-1</f>
        <v>-0.22668418089697884</v>
      </c>
      <c r="K10" s="225">
        <v>121</v>
      </c>
      <c r="L10" s="179"/>
    </row>
    <row r="11" spans="2:12" x14ac:dyDescent="0.3">
      <c r="B11" s="178"/>
      <c r="C11" s="135" t="s">
        <v>209</v>
      </c>
      <c r="D11" s="102" t="s">
        <v>208</v>
      </c>
      <c r="E11" s="96">
        <v>10322</v>
      </c>
      <c r="F11" s="96">
        <v>5761</v>
      </c>
      <c r="G11" s="96">
        <v>4112</v>
      </c>
      <c r="H11" s="96">
        <v>3722</v>
      </c>
      <c r="I11" s="96">
        <v>3514</v>
      </c>
      <c r="J11" s="224">
        <f t="shared" si="0"/>
        <v>-0.65956210036814578</v>
      </c>
      <c r="K11" s="225">
        <v>121</v>
      </c>
      <c r="L11" s="179"/>
    </row>
    <row r="12" spans="2:12" x14ac:dyDescent="0.3">
      <c r="B12" s="178"/>
      <c r="C12" s="135" t="s">
        <v>210</v>
      </c>
      <c r="D12" s="102" t="s">
        <v>208</v>
      </c>
      <c r="E12" s="96">
        <v>23638</v>
      </c>
      <c r="F12" s="96">
        <v>19048</v>
      </c>
      <c r="G12" s="167">
        <v>15425</v>
      </c>
      <c r="H12" s="167">
        <v>13858</v>
      </c>
      <c r="I12" s="167">
        <v>13398</v>
      </c>
      <c r="J12" s="224">
        <f t="shared" si="0"/>
        <v>-0.4332007784076487</v>
      </c>
      <c r="K12" s="225">
        <v>121</v>
      </c>
      <c r="L12" s="179"/>
    </row>
    <row r="13" spans="2:12" x14ac:dyDescent="0.3">
      <c r="B13" s="178"/>
      <c r="C13" s="135" t="s">
        <v>211</v>
      </c>
      <c r="D13" s="102" t="s">
        <v>208</v>
      </c>
      <c r="E13" s="96">
        <f>E10+E11</f>
        <v>20980</v>
      </c>
      <c r="F13" s="96">
        <v>15653</v>
      </c>
      <c r="G13" s="96">
        <v>12046</v>
      </c>
      <c r="H13" s="96">
        <v>9358</v>
      </c>
      <c r="I13" s="96">
        <v>6262</v>
      </c>
      <c r="J13" s="224">
        <f>I13/E13-1</f>
        <v>-0.70152526215443278</v>
      </c>
      <c r="K13" s="225">
        <v>124</v>
      </c>
      <c r="L13" s="179"/>
    </row>
    <row r="14" spans="2:12" x14ac:dyDescent="0.3">
      <c r="B14" s="178"/>
      <c r="C14" s="135" t="s">
        <v>77</v>
      </c>
      <c r="D14" s="102" t="s">
        <v>208</v>
      </c>
      <c r="E14" s="96">
        <v>9215449</v>
      </c>
      <c r="F14" s="96">
        <v>7228948</v>
      </c>
      <c r="G14" s="96">
        <v>9688774</v>
      </c>
      <c r="H14" s="96">
        <v>13773206</v>
      </c>
      <c r="I14" s="96">
        <v>14232969</v>
      </c>
      <c r="J14" s="224">
        <f t="shared" si="0"/>
        <v>0.54446831619381753</v>
      </c>
      <c r="K14" s="225">
        <v>121</v>
      </c>
      <c r="L14" s="179"/>
    </row>
    <row r="15" spans="2:12" x14ac:dyDescent="0.3">
      <c r="B15" s="178"/>
      <c r="C15" s="135" t="s">
        <v>78</v>
      </c>
      <c r="D15" s="102" t="s">
        <v>208</v>
      </c>
      <c r="E15" s="96">
        <f>SUM(E10,E11,E14)</f>
        <v>9236429</v>
      </c>
      <c r="F15" s="96">
        <f t="shared" ref="F15:G15" si="1">SUM(F10,F11,F14)</f>
        <v>7244601</v>
      </c>
      <c r="G15" s="96">
        <f t="shared" si="1"/>
        <v>9700820</v>
      </c>
      <c r="H15" s="96">
        <v>13785153</v>
      </c>
      <c r="I15" s="96">
        <v>14244725</v>
      </c>
      <c r="J15" s="224">
        <f t="shared" si="0"/>
        <v>0.54223293439488351</v>
      </c>
      <c r="K15" s="225">
        <v>121</v>
      </c>
      <c r="L15" s="179"/>
    </row>
    <row r="16" spans="2:12" x14ac:dyDescent="0.3">
      <c r="B16" s="178"/>
      <c r="C16" s="135" t="s">
        <v>79</v>
      </c>
      <c r="D16" s="102" t="s">
        <v>212</v>
      </c>
      <c r="E16" s="97">
        <f>E15/$E$7</f>
        <v>4223.489301615652</v>
      </c>
      <c r="F16" s="97">
        <f>F15/$F$7</f>
        <v>3032.222433822129</v>
      </c>
      <c r="G16" s="97">
        <f>G15/$G$7</f>
        <v>4730.4738475328468</v>
      </c>
      <c r="H16" s="97">
        <f>H15/$H$7</f>
        <v>6558.112749762131</v>
      </c>
      <c r="I16" s="97">
        <f>I15/$I$7</f>
        <v>6522.3099816849817</v>
      </c>
      <c r="J16" s="224">
        <f t="shared" si="0"/>
        <v>0.54429418802835361</v>
      </c>
      <c r="K16" s="225">
        <v>121</v>
      </c>
      <c r="L16" s="179"/>
    </row>
    <row r="17" spans="2:12" x14ac:dyDescent="0.3">
      <c r="B17" s="178"/>
      <c r="C17" s="135" t="s">
        <v>81</v>
      </c>
      <c r="D17" s="102" t="s">
        <v>212</v>
      </c>
      <c r="E17" s="145">
        <f>E13/$E$7</f>
        <v>9.5934051512653191</v>
      </c>
      <c r="F17" s="145">
        <f>F13/$F$7</f>
        <v>6.551551666767816</v>
      </c>
      <c r="G17" s="145">
        <f>G13/$G$7</f>
        <v>5.87406919903479</v>
      </c>
      <c r="H17" s="145">
        <f>H13/$H$7</f>
        <v>4.4519505233111323</v>
      </c>
      <c r="I17" s="145">
        <f>I13/$I$7</f>
        <v>2.8672161172161172</v>
      </c>
      <c r="J17" s="224">
        <f t="shared" si="0"/>
        <v>-0.70112633918750467</v>
      </c>
      <c r="K17" s="225">
        <v>121</v>
      </c>
      <c r="L17" s="179"/>
    </row>
    <row r="18" spans="2:12" x14ac:dyDescent="0.3">
      <c r="B18" s="178"/>
      <c r="C18" s="155" t="s">
        <v>82</v>
      </c>
      <c r="D18" s="156"/>
      <c r="E18" s="157"/>
      <c r="F18" s="157"/>
      <c r="G18" s="157"/>
      <c r="H18" s="157"/>
      <c r="I18" s="157"/>
      <c r="J18" s="157"/>
      <c r="K18" s="157"/>
      <c r="L18" s="179"/>
    </row>
    <row r="19" spans="2:12" x14ac:dyDescent="0.3">
      <c r="B19" s="178"/>
      <c r="C19" s="135" t="s">
        <v>83</v>
      </c>
      <c r="D19" s="102" t="s">
        <v>84</v>
      </c>
      <c r="E19" s="97">
        <f>51422.2222+72305.277777</f>
        <v>123727.499977</v>
      </c>
      <c r="F19" s="97">
        <v>114362</v>
      </c>
      <c r="G19" s="97">
        <v>89334</v>
      </c>
      <c r="H19" s="97">
        <v>87974</v>
      </c>
      <c r="I19" s="97">
        <v>91266</v>
      </c>
      <c r="J19" s="224">
        <f>I19/E19-1</f>
        <v>-0.26236285371509438</v>
      </c>
      <c r="K19" s="225">
        <v>118</v>
      </c>
      <c r="L19" s="179"/>
    </row>
    <row r="20" spans="2:12" x14ac:dyDescent="0.3">
      <c r="B20" s="178"/>
      <c r="C20" s="135" t="s">
        <v>213</v>
      </c>
      <c r="D20" s="102" t="s">
        <v>55</v>
      </c>
      <c r="E20" s="46">
        <f>51543.33333/E19</f>
        <v>0.41658752774913832</v>
      </c>
      <c r="F20" s="46">
        <f>52588/F19</f>
        <v>0.45983805809622075</v>
      </c>
      <c r="G20" s="46">
        <f>45845/G19</f>
        <v>0.5131864687576958</v>
      </c>
      <c r="H20" s="46">
        <v>0.56000000000000005</v>
      </c>
      <c r="I20" s="46">
        <v>0.61</v>
      </c>
      <c r="J20" s="224">
        <f>I20/E20-1</f>
        <v>0.46427811532401719</v>
      </c>
      <c r="K20" s="225">
        <v>118</v>
      </c>
      <c r="L20" s="179"/>
    </row>
    <row r="21" spans="2:12" x14ac:dyDescent="0.3">
      <c r="B21" s="178"/>
      <c r="C21" s="135" t="s">
        <v>214</v>
      </c>
      <c r="D21" s="102" t="s">
        <v>55</v>
      </c>
      <c r="E21" s="46">
        <f>51543.33333/72305.277777</f>
        <v>0.71285713733051614</v>
      </c>
      <c r="F21" s="46">
        <f>(51383+1114)/(51383+1114+10771)</f>
        <v>0.82975595877852948</v>
      </c>
      <c r="G21" s="46">
        <f>(42219+3626)/(42219+3626+7516)</f>
        <v>0.85914806694027468</v>
      </c>
      <c r="H21" s="46">
        <v>0.89</v>
      </c>
      <c r="I21" s="46">
        <v>0.93</v>
      </c>
      <c r="J21" s="224">
        <f>I21/E21-1</f>
        <v>0.30460922855122607</v>
      </c>
      <c r="K21" s="225">
        <v>118</v>
      </c>
      <c r="L21" s="179"/>
    </row>
    <row r="22" spans="2:12" x14ac:dyDescent="0.3">
      <c r="B22" s="178"/>
      <c r="C22" s="135" t="s">
        <v>87</v>
      </c>
      <c r="D22" s="102" t="s">
        <v>88</v>
      </c>
      <c r="E22" s="98">
        <f>E19/E7</f>
        <v>56.576169477241727</v>
      </c>
      <c r="F22" s="98">
        <f>F19/F7</f>
        <v>47.866131202638535</v>
      </c>
      <c r="G22" s="98">
        <f>G19/G7</f>
        <v>43.562518497972263</v>
      </c>
      <c r="H22" s="98">
        <v>41.9</v>
      </c>
      <c r="I22" s="98">
        <v>42</v>
      </c>
      <c r="J22" s="224">
        <f>I22/E22-1</f>
        <v>-0.25763797040209879</v>
      </c>
      <c r="K22" s="225">
        <v>119</v>
      </c>
      <c r="L22" s="179"/>
    </row>
    <row r="23" spans="2:12" x14ac:dyDescent="0.3">
      <c r="B23" s="178"/>
      <c r="C23" s="155" t="s">
        <v>89</v>
      </c>
      <c r="D23" s="156"/>
      <c r="E23" s="157"/>
      <c r="F23" s="157"/>
      <c r="G23" s="157"/>
      <c r="H23" s="157"/>
      <c r="I23" s="157"/>
      <c r="J23" s="157"/>
      <c r="K23" s="157"/>
      <c r="L23" s="179"/>
    </row>
    <row r="24" spans="2:12" x14ac:dyDescent="0.3">
      <c r="B24" s="178"/>
      <c r="C24" s="135" t="s">
        <v>90</v>
      </c>
      <c r="D24" s="102" t="s">
        <v>215</v>
      </c>
      <c r="E24" s="97">
        <v>140962</v>
      </c>
      <c r="F24" s="97">
        <v>167361</v>
      </c>
      <c r="G24" s="97">
        <v>129434</v>
      </c>
      <c r="H24" s="97">
        <v>19367</v>
      </c>
      <c r="I24" s="97">
        <v>20760</v>
      </c>
      <c r="J24" s="224">
        <f>I24/E24-1</f>
        <v>-0.85272626665342433</v>
      </c>
      <c r="K24" s="225">
        <v>135</v>
      </c>
      <c r="L24" s="179"/>
    </row>
    <row r="25" spans="2:12" x14ac:dyDescent="0.3">
      <c r="B25" s="178"/>
      <c r="C25" s="135" t="s">
        <v>216</v>
      </c>
      <c r="D25" s="102" t="s">
        <v>215</v>
      </c>
      <c r="E25" s="97">
        <v>105065</v>
      </c>
      <c r="F25" s="97">
        <v>130615</v>
      </c>
      <c r="G25" s="97">
        <v>80102</v>
      </c>
      <c r="H25" s="97">
        <v>15081</v>
      </c>
      <c r="I25" s="97">
        <v>16892</v>
      </c>
      <c r="J25" s="224">
        <f>I25/E25-1</f>
        <v>-0.83922333793366011</v>
      </c>
      <c r="K25" s="225">
        <v>135</v>
      </c>
      <c r="L25" s="179"/>
    </row>
    <row r="26" spans="2:12" x14ac:dyDescent="0.3">
      <c r="B26" s="178"/>
      <c r="C26" s="135" t="s">
        <v>93</v>
      </c>
      <c r="D26" s="102" t="s">
        <v>217</v>
      </c>
      <c r="E26" s="97">
        <f>E24/E7</f>
        <v>64.456891178868545</v>
      </c>
      <c r="F26" s="97">
        <f>F24/F7</f>
        <v>70.048823771924134</v>
      </c>
      <c r="G26" s="97">
        <f>G24/G7</f>
        <v>63.11674188177561</v>
      </c>
      <c r="H26" s="97">
        <v>64</v>
      </c>
      <c r="I26" s="97">
        <v>63</v>
      </c>
      <c r="J26" s="224">
        <f>I26/E26-1</f>
        <v>-2.2602566649168043E-2</v>
      </c>
      <c r="K26" s="225">
        <v>135</v>
      </c>
      <c r="L26" s="179"/>
    </row>
    <row r="27" spans="2:12" x14ac:dyDescent="0.3">
      <c r="B27" s="178"/>
      <c r="C27" s="155" t="s">
        <v>95</v>
      </c>
      <c r="D27" s="156"/>
      <c r="E27" s="157"/>
      <c r="F27" s="157"/>
      <c r="G27" s="157"/>
      <c r="H27" s="157"/>
      <c r="I27" s="157"/>
      <c r="J27" s="157"/>
      <c r="K27" s="157"/>
      <c r="L27" s="179"/>
    </row>
    <row r="28" spans="2:12" x14ac:dyDescent="0.3">
      <c r="B28" s="178"/>
      <c r="C28" s="135" t="s">
        <v>96</v>
      </c>
      <c r="D28" s="102" t="s">
        <v>97</v>
      </c>
      <c r="E28" s="97">
        <f>SUM(E29:E30)</f>
        <v>17626</v>
      </c>
      <c r="F28" s="97">
        <f>SUM(F29:F30)</f>
        <v>10049</v>
      </c>
      <c r="G28" s="97">
        <f>SUM(G29:G30)</f>
        <v>8764</v>
      </c>
      <c r="H28" s="97">
        <v>9907</v>
      </c>
      <c r="I28" s="97">
        <v>10440</v>
      </c>
      <c r="J28" s="224">
        <f t="shared" ref="J28:J33" si="2">I28/E28-1</f>
        <v>-0.40769318052876435</v>
      </c>
      <c r="K28" s="225">
        <v>148</v>
      </c>
      <c r="L28" s="179"/>
    </row>
    <row r="29" spans="2:12" x14ac:dyDescent="0.3">
      <c r="B29" s="178"/>
      <c r="C29" s="135" t="s">
        <v>98</v>
      </c>
      <c r="D29" s="102" t="s">
        <v>97</v>
      </c>
      <c r="E29" s="97">
        <v>787</v>
      </c>
      <c r="F29" s="97">
        <v>615</v>
      </c>
      <c r="G29" s="97">
        <v>855</v>
      </c>
      <c r="H29" s="97">
        <v>1288</v>
      </c>
      <c r="I29" s="97">
        <v>820</v>
      </c>
      <c r="J29" s="224">
        <f t="shared" si="2"/>
        <v>4.1931385006353183E-2</v>
      </c>
      <c r="K29" s="225">
        <v>148</v>
      </c>
      <c r="L29" s="179"/>
    </row>
    <row r="30" spans="2:12" x14ac:dyDescent="0.3">
      <c r="B30" s="178"/>
      <c r="C30" s="135" t="s">
        <v>99</v>
      </c>
      <c r="D30" s="102" t="s">
        <v>97</v>
      </c>
      <c r="E30" s="97">
        <v>16839</v>
      </c>
      <c r="F30" s="97">
        <v>9434</v>
      </c>
      <c r="G30" s="97">
        <v>7909</v>
      </c>
      <c r="H30" s="97">
        <v>8619</v>
      </c>
      <c r="I30" s="97">
        <v>9620</v>
      </c>
      <c r="J30" s="224">
        <f t="shared" si="2"/>
        <v>-0.42870716788407859</v>
      </c>
      <c r="K30" s="225">
        <v>148</v>
      </c>
      <c r="L30" s="179"/>
    </row>
    <row r="31" spans="2:12" x14ac:dyDescent="0.3">
      <c r="B31" s="178"/>
      <c r="C31" s="135" t="s">
        <v>218</v>
      </c>
      <c r="D31" s="102" t="s">
        <v>55</v>
      </c>
      <c r="E31" s="106">
        <f>2920/E28</f>
        <v>0.16566435946896629</v>
      </c>
      <c r="F31" s="106">
        <f>2720/F28</f>
        <v>0.27067369887551002</v>
      </c>
      <c r="G31" s="106">
        <f>2577/$G$28</f>
        <v>0.29404381560931081</v>
      </c>
      <c r="H31" s="106">
        <f>(2967/9907)</f>
        <v>0.29948521247602705</v>
      </c>
      <c r="I31" s="106">
        <f>3862/10440</f>
        <v>0.3699233716475096</v>
      </c>
      <c r="J31" s="224">
        <f t="shared" si="2"/>
        <v>1.232968955020207</v>
      </c>
      <c r="K31" s="225">
        <v>148</v>
      </c>
      <c r="L31" s="179"/>
    </row>
    <row r="32" spans="2:12" x14ac:dyDescent="0.3">
      <c r="B32" s="178"/>
      <c r="C32" s="135" t="s">
        <v>219</v>
      </c>
      <c r="D32" s="102" t="s">
        <v>55</v>
      </c>
      <c r="E32" s="106">
        <f>14416/E28</f>
        <v>0.8178826733234994</v>
      </c>
      <c r="F32" s="106">
        <f>7038/F28</f>
        <v>0.70036819584038212</v>
      </c>
      <c r="G32" s="106">
        <f>5785/G28</f>
        <v>0.6600867183934277</v>
      </c>
      <c r="H32" s="106">
        <f>6220/9907</f>
        <v>0.6278389017866155</v>
      </c>
      <c r="I32" s="106">
        <f>5451/10440</f>
        <v>0.52212643678160919</v>
      </c>
      <c r="J32" s="224">
        <f t="shared" si="2"/>
        <v>-0.36161205780295202</v>
      </c>
      <c r="K32" s="225">
        <v>148</v>
      </c>
      <c r="L32" s="179"/>
    </row>
    <row r="33" spans="2:12" x14ac:dyDescent="0.3">
      <c r="B33" s="178"/>
      <c r="C33" s="135" t="s">
        <v>220</v>
      </c>
      <c r="D33" s="102" t="s">
        <v>55</v>
      </c>
      <c r="E33" s="106">
        <f>289/E28</f>
        <v>1.6396232837853172E-2</v>
      </c>
      <c r="F33" s="106">
        <f>291/F28</f>
        <v>2.8958105284107871E-2</v>
      </c>
      <c r="G33" s="106">
        <f>402/G28</f>
        <v>4.5869465997261522E-2</v>
      </c>
      <c r="H33" s="106">
        <f>600/9907</f>
        <v>6.056323811446452E-2</v>
      </c>
      <c r="I33" s="106">
        <f>398/10440</f>
        <v>3.8122605363984673E-2</v>
      </c>
      <c r="J33" s="224">
        <f t="shared" si="2"/>
        <v>1.3250831908152034</v>
      </c>
      <c r="K33" s="225">
        <v>148</v>
      </c>
      <c r="L33" s="179"/>
    </row>
    <row r="34" spans="2:12" x14ac:dyDescent="0.3">
      <c r="B34" s="178"/>
      <c r="C34" s="155" t="s">
        <v>103</v>
      </c>
      <c r="D34" s="156"/>
      <c r="E34" s="157"/>
      <c r="F34" s="157"/>
      <c r="G34" s="157"/>
      <c r="H34" s="157"/>
      <c r="I34" s="157"/>
      <c r="J34" s="157"/>
      <c r="K34" s="157"/>
      <c r="L34" s="179"/>
    </row>
    <row r="35" spans="2:12" x14ac:dyDescent="0.3">
      <c r="B35" s="178"/>
      <c r="C35" s="135" t="s">
        <v>104</v>
      </c>
      <c r="D35" s="102" t="s">
        <v>97</v>
      </c>
      <c r="E35" s="97">
        <f>+E36+E37</f>
        <v>311180</v>
      </c>
      <c r="F35" s="97">
        <f>F36+F37</f>
        <v>296033</v>
      </c>
      <c r="G35" s="97">
        <f>G36+G37</f>
        <v>246368</v>
      </c>
      <c r="H35" s="97">
        <v>97552</v>
      </c>
      <c r="I35" s="97">
        <v>98687</v>
      </c>
      <c r="J35" s="224">
        <f>I35/E35-1</f>
        <v>-0.68286200912655048</v>
      </c>
      <c r="K35" s="225">
        <v>145</v>
      </c>
      <c r="L35" s="179"/>
    </row>
    <row r="36" spans="2:12" x14ac:dyDescent="0.3">
      <c r="B36" s="178"/>
      <c r="C36" s="135" t="s">
        <v>105</v>
      </c>
      <c r="D36" s="102" t="s">
        <v>97</v>
      </c>
      <c r="E36" s="97">
        <v>17058</v>
      </c>
      <c r="F36" s="97">
        <v>6989</v>
      </c>
      <c r="G36" s="97">
        <v>2168</v>
      </c>
      <c r="H36" s="97">
        <f>H35*0.09</f>
        <v>8779.68</v>
      </c>
      <c r="I36" s="97">
        <f>I35*0.07</f>
        <v>6908.0900000000011</v>
      </c>
      <c r="J36" s="224">
        <f>I36/E36-1</f>
        <v>-0.59502344940790242</v>
      </c>
      <c r="K36" s="225">
        <v>145</v>
      </c>
      <c r="L36" s="179"/>
    </row>
    <row r="37" spans="2:12" x14ac:dyDescent="0.3">
      <c r="B37" s="178"/>
      <c r="C37" s="135" t="s">
        <v>106</v>
      </c>
      <c r="D37" s="102" t="s">
        <v>97</v>
      </c>
      <c r="E37" s="97">
        <v>294122</v>
      </c>
      <c r="F37" s="97">
        <v>289044</v>
      </c>
      <c r="G37" s="97">
        <v>244200</v>
      </c>
      <c r="H37" s="97">
        <f>H35-H36</f>
        <v>88772.32</v>
      </c>
      <c r="I37" s="97">
        <f>I35-I36</f>
        <v>91778.91</v>
      </c>
      <c r="J37" s="224">
        <f t="shared" ref="J37" si="3">H37/E37-1</f>
        <v>-0.69817857895703139</v>
      </c>
      <c r="K37" s="225">
        <v>145</v>
      </c>
      <c r="L37" s="179"/>
    </row>
    <row r="38" spans="2:12" x14ac:dyDescent="0.3">
      <c r="B38" s="178"/>
      <c r="C38" s="155" t="s">
        <v>107</v>
      </c>
      <c r="D38" s="156"/>
      <c r="E38" s="157"/>
      <c r="F38" s="157"/>
      <c r="G38" s="157"/>
      <c r="H38" s="157"/>
      <c r="I38" s="157"/>
      <c r="J38" s="157"/>
      <c r="K38" s="157"/>
      <c r="L38" s="179"/>
    </row>
    <row r="39" spans="2:12" x14ac:dyDescent="0.3">
      <c r="B39" s="178"/>
      <c r="C39" s="135" t="s">
        <v>108</v>
      </c>
      <c r="D39" s="102" t="s">
        <v>55</v>
      </c>
      <c r="E39" s="34">
        <v>0.41</v>
      </c>
      <c r="F39" s="34">
        <v>0.53</v>
      </c>
      <c r="G39" s="34">
        <v>0.51</v>
      </c>
      <c r="H39" s="34">
        <v>0.56000000000000005</v>
      </c>
      <c r="I39" s="34">
        <v>0.59</v>
      </c>
      <c r="J39" s="224">
        <f>I39/E39-1</f>
        <v>0.43902439024390238</v>
      </c>
      <c r="K39" s="225">
        <v>156</v>
      </c>
      <c r="L39" s="179"/>
    </row>
    <row r="40" spans="2:12" x14ac:dyDescent="0.3">
      <c r="B40" s="178"/>
      <c r="C40" s="155" t="s">
        <v>109</v>
      </c>
      <c r="D40" s="156"/>
      <c r="E40" s="157"/>
      <c r="F40" s="157"/>
      <c r="G40" s="157"/>
      <c r="H40" s="157"/>
      <c r="I40" s="157"/>
      <c r="J40" s="157"/>
      <c r="K40" s="157"/>
      <c r="L40" s="179"/>
    </row>
    <row r="41" spans="2:12" x14ac:dyDescent="0.3">
      <c r="B41" s="178"/>
      <c r="C41" s="135" t="s">
        <v>292</v>
      </c>
      <c r="D41" s="102" t="s">
        <v>55</v>
      </c>
      <c r="E41" s="158">
        <v>7</v>
      </c>
      <c r="F41" s="158">
        <v>8</v>
      </c>
      <c r="G41" s="158">
        <v>9</v>
      </c>
      <c r="H41" s="158">
        <v>9</v>
      </c>
      <c r="I41" s="158">
        <v>13</v>
      </c>
      <c r="J41" s="224">
        <f>I41/E41-1</f>
        <v>0.85714285714285721</v>
      </c>
      <c r="K41" s="225">
        <v>106</v>
      </c>
      <c r="L41" s="179"/>
    </row>
    <row r="42" spans="2:12" x14ac:dyDescent="0.3">
      <c r="B42" s="178"/>
      <c r="C42" s="135" t="s">
        <v>293</v>
      </c>
      <c r="D42" s="102" t="s">
        <v>55</v>
      </c>
      <c r="E42" s="34">
        <f>8/29</f>
        <v>0.27586206896551724</v>
      </c>
      <c r="F42" s="34">
        <f>8/29</f>
        <v>0.27586206896551724</v>
      </c>
      <c r="G42" s="46">
        <f>8/25</f>
        <v>0.32</v>
      </c>
      <c r="H42" s="46">
        <f>7/20</f>
        <v>0.35</v>
      </c>
      <c r="I42" s="46">
        <f>11/20</f>
        <v>0.55000000000000004</v>
      </c>
      <c r="J42" s="224">
        <f>I42/E42-1</f>
        <v>0.99375000000000013</v>
      </c>
      <c r="K42" s="225">
        <v>106</v>
      </c>
      <c r="L42" s="179"/>
    </row>
    <row r="43" spans="2:12" x14ac:dyDescent="0.3">
      <c r="B43" s="178"/>
      <c r="C43" s="155" t="s">
        <v>221</v>
      </c>
      <c r="D43" s="156"/>
      <c r="E43" s="157"/>
      <c r="F43" s="157"/>
      <c r="G43" s="157"/>
      <c r="H43" s="157"/>
      <c r="I43" s="157"/>
      <c r="J43" s="157"/>
      <c r="K43" s="157"/>
      <c r="L43" s="179"/>
    </row>
    <row r="44" spans="2:12" x14ac:dyDescent="0.3">
      <c r="B44" s="178"/>
      <c r="C44" s="135" t="s">
        <v>222</v>
      </c>
      <c r="D44" s="102" t="s">
        <v>55</v>
      </c>
      <c r="E44" s="34">
        <v>4.9599999999999998E-2</v>
      </c>
      <c r="F44" s="34">
        <v>6.3E-2</v>
      </c>
      <c r="G44" s="34">
        <v>7.3999999999999996E-2</v>
      </c>
      <c r="H44" s="34">
        <v>0.1222</v>
      </c>
      <c r="I44" s="34">
        <v>0.1003</v>
      </c>
      <c r="J44" s="224">
        <f>I44/E44-1</f>
        <v>1.022177419354839</v>
      </c>
      <c r="K44" s="225">
        <v>164</v>
      </c>
      <c r="L44" s="179"/>
    </row>
    <row r="45" spans="2:12" x14ac:dyDescent="0.3">
      <c r="B45" s="178"/>
      <c r="C45" s="135" t="s">
        <v>223</v>
      </c>
      <c r="D45" s="102" t="s">
        <v>55</v>
      </c>
      <c r="E45" s="34">
        <v>3.78E-2</v>
      </c>
      <c r="F45" s="34">
        <v>4.2000000000000003E-2</v>
      </c>
      <c r="G45" s="34">
        <v>4.7E-2</v>
      </c>
      <c r="H45" s="34">
        <v>0.1741</v>
      </c>
      <c r="I45" s="34">
        <v>0.11940000000000001</v>
      </c>
      <c r="J45" s="224">
        <f t="shared" ref="J45" si="4">I45/E45-1</f>
        <v>2.1587301587301591</v>
      </c>
      <c r="K45" s="225">
        <v>165</v>
      </c>
      <c r="L45" s="179"/>
    </row>
    <row r="46" spans="2:12" x14ac:dyDescent="0.3">
      <c r="B46" s="178"/>
      <c r="C46" s="135" t="s">
        <v>224</v>
      </c>
      <c r="D46" s="102" t="s">
        <v>55</v>
      </c>
      <c r="E46" s="34">
        <v>1.7600000000000001E-2</v>
      </c>
      <c r="F46" s="34">
        <v>2.7E-2</v>
      </c>
      <c r="G46" s="34">
        <v>5.5E-2</v>
      </c>
      <c r="H46" s="34">
        <v>7.6999999999999999E-2</v>
      </c>
      <c r="I46" s="34">
        <v>9.2100000000000001E-2</v>
      </c>
      <c r="J46" s="224">
        <f>I46/E46-1</f>
        <v>4.232954545454545</v>
      </c>
      <c r="K46" s="225">
        <v>166</v>
      </c>
      <c r="L46" s="179"/>
    </row>
    <row r="47" spans="2:12" x14ac:dyDescent="0.3">
      <c r="B47" s="178"/>
      <c r="C47" s="135" t="s">
        <v>225</v>
      </c>
      <c r="D47" s="102" t="s">
        <v>55</v>
      </c>
      <c r="E47" s="34" t="s">
        <v>115</v>
      </c>
      <c r="F47" s="34">
        <v>0</v>
      </c>
      <c r="G47" s="46">
        <v>0</v>
      </c>
      <c r="H47" s="46">
        <v>0</v>
      </c>
      <c r="I47" s="46">
        <v>0</v>
      </c>
      <c r="J47" s="224">
        <v>0</v>
      </c>
      <c r="K47" s="225">
        <v>163</v>
      </c>
      <c r="L47" s="179"/>
    </row>
    <row r="48" spans="2:12" x14ac:dyDescent="0.3">
      <c r="B48" s="178"/>
      <c r="C48" s="159" t="s">
        <v>116</v>
      </c>
      <c r="D48" s="160" t="s">
        <v>63</v>
      </c>
      <c r="E48" s="161">
        <v>2021</v>
      </c>
      <c r="F48" s="161">
        <v>2022</v>
      </c>
      <c r="G48" s="161">
        <v>2023</v>
      </c>
      <c r="H48" s="161">
        <v>2024</v>
      </c>
      <c r="I48" s="161">
        <v>2025</v>
      </c>
      <c r="J48" s="161" t="s">
        <v>206</v>
      </c>
      <c r="K48" s="161" t="s">
        <v>207</v>
      </c>
      <c r="L48" s="179"/>
    </row>
    <row r="49" spans="2:12" x14ac:dyDescent="0.3">
      <c r="B49" s="178"/>
      <c r="C49" s="155" t="s">
        <v>117</v>
      </c>
      <c r="D49" s="156"/>
      <c r="E49" s="157"/>
      <c r="F49" s="157"/>
      <c r="G49" s="157"/>
      <c r="H49" s="157"/>
      <c r="I49" s="157"/>
      <c r="J49" s="157"/>
      <c r="K49" s="157"/>
      <c r="L49" s="179"/>
    </row>
    <row r="50" spans="2:12" x14ac:dyDescent="0.3">
      <c r="B50" s="178"/>
      <c r="C50" s="135" t="s">
        <v>226</v>
      </c>
      <c r="D50" s="102" t="s">
        <v>227</v>
      </c>
      <c r="E50" s="97">
        <v>6995</v>
      </c>
      <c r="F50" s="97">
        <v>6771</v>
      </c>
      <c r="G50" s="97">
        <v>6409</v>
      </c>
      <c r="H50" s="97">
        <v>6654</v>
      </c>
      <c r="I50" s="97">
        <v>6753</v>
      </c>
      <c r="J50" s="226">
        <f>I50/E50-1</f>
        <v>-3.4596140100071504E-2</v>
      </c>
      <c r="K50" s="227">
        <v>174</v>
      </c>
      <c r="L50" s="179"/>
    </row>
    <row r="51" spans="2:12" x14ac:dyDescent="0.3">
      <c r="B51" s="178"/>
      <c r="C51" s="168" t="s">
        <v>228</v>
      </c>
      <c r="D51" s="102" t="s">
        <v>55</v>
      </c>
      <c r="E51" s="46">
        <f>6746/E50</f>
        <v>0.96440314510364544</v>
      </c>
      <c r="F51" s="46">
        <f>(6476+151)/F50</f>
        <v>0.97873283119184762</v>
      </c>
      <c r="G51" s="46">
        <f>(6143+139)/G50</f>
        <v>0.98018411608675304</v>
      </c>
      <c r="H51" s="46">
        <f>6415/H50</f>
        <v>0.96408175533513674</v>
      </c>
      <c r="I51" s="46">
        <f>6553/I50</f>
        <v>0.9703835332444839</v>
      </c>
      <c r="J51" s="226">
        <f>I51/E51-1</f>
        <v>6.2011288237717732E-3</v>
      </c>
      <c r="K51" s="227">
        <v>176</v>
      </c>
      <c r="L51" s="179"/>
    </row>
    <row r="52" spans="2:12" x14ac:dyDescent="0.3">
      <c r="B52" s="178"/>
      <c r="C52" s="168" t="s">
        <v>229</v>
      </c>
      <c r="D52" s="102" t="s">
        <v>55</v>
      </c>
      <c r="E52" s="46">
        <f>249/E50</f>
        <v>3.5596854896354536E-2</v>
      </c>
      <c r="F52" s="46">
        <f>(126+18)/F50</f>
        <v>2.1267168808152416E-2</v>
      </c>
      <c r="G52" s="46">
        <f>(116+11)/G50</f>
        <v>1.9815883913246995E-2</v>
      </c>
      <c r="H52" s="46">
        <f>239/H50</f>
        <v>3.5918244664863243E-2</v>
      </c>
      <c r="I52" s="46">
        <f>200/I50</f>
        <v>2.9616466755516067E-2</v>
      </c>
      <c r="J52" s="226">
        <f t="shared" ref="J52:J56" si="5">I52/E52-1</f>
        <v>-0.16800327327375542</v>
      </c>
      <c r="K52" s="227">
        <v>176</v>
      </c>
      <c r="L52" s="179"/>
    </row>
    <row r="53" spans="2:12" x14ac:dyDescent="0.3">
      <c r="B53" s="178"/>
      <c r="C53" s="168" t="s">
        <v>230</v>
      </c>
      <c r="D53" s="102" t="s">
        <v>55</v>
      </c>
      <c r="E53" s="46">
        <f>2426/E50</f>
        <v>0.34681915654038598</v>
      </c>
      <c r="F53" s="46">
        <f>2365/F50</f>
        <v>0.34928370993944763</v>
      </c>
      <c r="G53" s="46">
        <f>2220/G50</f>
        <v>0.34638789202683729</v>
      </c>
      <c r="H53" s="46">
        <f>2334/H50</f>
        <v>0.35076645626690711</v>
      </c>
      <c r="I53" s="46">
        <f>2348/I50</f>
        <v>0.34769731970975865</v>
      </c>
      <c r="J53" s="226">
        <f t="shared" si="5"/>
        <v>2.5320492043536813E-3</v>
      </c>
      <c r="K53" s="227">
        <v>174</v>
      </c>
      <c r="L53" s="179"/>
    </row>
    <row r="54" spans="2:12" x14ac:dyDescent="0.3">
      <c r="B54" s="178"/>
      <c r="C54" s="168" t="s">
        <v>231</v>
      </c>
      <c r="D54" s="102" t="s">
        <v>55</v>
      </c>
      <c r="E54" s="46">
        <v>0.19014084507042253</v>
      </c>
      <c r="F54" s="46">
        <v>0.22474747474747475</v>
      </c>
      <c r="G54" s="46">
        <v>0.22857142857142901</v>
      </c>
      <c r="H54" s="46">
        <v>0.24</v>
      </c>
      <c r="I54" s="46">
        <v>0.27</v>
      </c>
      <c r="J54" s="226">
        <f>I54/E54-1</f>
        <v>0.42000000000000015</v>
      </c>
      <c r="K54" s="225">
        <v>189</v>
      </c>
      <c r="L54" s="179"/>
    </row>
    <row r="55" spans="2:12" x14ac:dyDescent="0.3">
      <c r="B55" s="178"/>
      <c r="C55" s="168" t="s">
        <v>232</v>
      </c>
      <c r="D55" s="102" t="s">
        <v>55</v>
      </c>
      <c r="E55" s="33">
        <f>59/E50</f>
        <v>8.4345961401000712E-3</v>
      </c>
      <c r="F55" s="33">
        <f>51/F50</f>
        <v>7.5321222862206466E-3</v>
      </c>
      <c r="G55" s="33">
        <f>47/G50</f>
        <v>7.3334373537213291E-3</v>
      </c>
      <c r="H55" s="33">
        <f>49/H50</f>
        <v>7.3639915840096179E-3</v>
      </c>
      <c r="I55" s="33">
        <f>54/I50</f>
        <v>7.9964460239893374E-3</v>
      </c>
      <c r="J55" s="226">
        <f t="shared" si="5"/>
        <v>-5.1946780715162455E-2</v>
      </c>
      <c r="K55" s="225">
        <v>187</v>
      </c>
      <c r="L55" s="179"/>
    </row>
    <row r="56" spans="2:12" x14ac:dyDescent="0.3">
      <c r="B56" s="178"/>
      <c r="C56" s="168" t="s">
        <v>128</v>
      </c>
      <c r="D56" s="102" t="s">
        <v>55</v>
      </c>
      <c r="E56" s="46">
        <v>0.47</v>
      </c>
      <c r="F56" s="46">
        <v>0.48</v>
      </c>
      <c r="G56" s="46">
        <v>0.49</v>
      </c>
      <c r="H56" s="46">
        <v>0.48</v>
      </c>
      <c r="I56" s="46">
        <v>0.49</v>
      </c>
      <c r="J56" s="226">
        <f t="shared" si="5"/>
        <v>4.2553191489361764E-2</v>
      </c>
      <c r="K56" s="225">
        <v>181</v>
      </c>
      <c r="L56" s="179"/>
    </row>
    <row r="57" spans="2:12" x14ac:dyDescent="0.3">
      <c r="B57" s="178"/>
      <c r="C57" s="169" t="s">
        <v>127</v>
      </c>
      <c r="D57" s="102" t="s">
        <v>55</v>
      </c>
      <c r="E57" s="171">
        <v>0.11</v>
      </c>
      <c r="F57" s="171">
        <v>0.21</v>
      </c>
      <c r="G57" s="171">
        <v>7.0000000000000007E-2</v>
      </c>
      <c r="H57" s="171">
        <v>0.13</v>
      </c>
      <c r="I57" s="171">
        <v>0.152</v>
      </c>
      <c r="J57" s="226">
        <f>I57/E57-1</f>
        <v>0.38181818181818183</v>
      </c>
      <c r="K57" s="227">
        <v>177</v>
      </c>
      <c r="L57" s="179"/>
    </row>
    <row r="58" spans="2:12" x14ac:dyDescent="0.3">
      <c r="B58" s="178"/>
      <c r="C58" s="155" t="s">
        <v>129</v>
      </c>
      <c r="D58" s="156"/>
      <c r="E58" s="157"/>
      <c r="F58" s="157"/>
      <c r="G58" s="157"/>
      <c r="H58" s="157"/>
      <c r="I58" s="157"/>
      <c r="J58" s="157"/>
      <c r="K58" s="157"/>
      <c r="L58" s="179"/>
    </row>
    <row r="59" spans="2:12" x14ac:dyDescent="0.3">
      <c r="B59" s="178"/>
      <c r="C59" s="135" t="s">
        <v>130</v>
      </c>
      <c r="D59" s="102" t="s">
        <v>55</v>
      </c>
      <c r="E59" s="46">
        <v>0.8</v>
      </c>
      <c r="F59" s="46">
        <v>0.74</v>
      </c>
      <c r="G59" s="46">
        <v>0.81</v>
      </c>
      <c r="H59" s="46">
        <v>0.81</v>
      </c>
      <c r="I59" s="46">
        <v>0.79</v>
      </c>
      <c r="J59" s="224">
        <f>I59/E59-1</f>
        <v>-1.2499999999999956E-2</v>
      </c>
      <c r="K59" s="225">
        <v>171</v>
      </c>
      <c r="L59" s="179"/>
    </row>
    <row r="60" spans="2:12" x14ac:dyDescent="0.3">
      <c r="B60" s="178"/>
      <c r="C60" s="135" t="s">
        <v>131</v>
      </c>
      <c r="D60" s="102" t="s">
        <v>55</v>
      </c>
      <c r="E60" s="46">
        <v>0.89</v>
      </c>
      <c r="F60" s="46">
        <v>0.9</v>
      </c>
      <c r="G60" s="46">
        <v>0.89</v>
      </c>
      <c r="H60" s="46">
        <v>0.89</v>
      </c>
      <c r="I60" s="46">
        <v>0.86</v>
      </c>
      <c r="J60" s="224">
        <f t="shared" ref="J60:J61" si="6">I60/E60-1</f>
        <v>-3.3707865168539408E-2</v>
      </c>
      <c r="K60" s="225">
        <v>171</v>
      </c>
      <c r="L60" s="179"/>
    </row>
    <row r="61" spans="2:12" x14ac:dyDescent="0.3">
      <c r="B61" s="178"/>
      <c r="C61" s="135" t="s">
        <v>132</v>
      </c>
      <c r="D61" s="102" t="s">
        <v>233</v>
      </c>
      <c r="E61" s="97">
        <v>35</v>
      </c>
      <c r="F61" s="97">
        <v>36</v>
      </c>
      <c r="G61" s="97">
        <v>31</v>
      </c>
      <c r="H61" s="97">
        <v>31</v>
      </c>
      <c r="I61" s="97">
        <v>29</v>
      </c>
      <c r="J61" s="224">
        <f t="shared" si="6"/>
        <v>-0.17142857142857137</v>
      </c>
      <c r="K61" s="225">
        <v>171</v>
      </c>
      <c r="L61" s="179"/>
    </row>
    <row r="62" spans="2:12" x14ac:dyDescent="0.3">
      <c r="B62" s="178"/>
      <c r="C62" s="155" t="s">
        <v>133</v>
      </c>
      <c r="D62" s="156"/>
      <c r="E62" s="157"/>
      <c r="F62" s="157"/>
      <c r="G62" s="157"/>
      <c r="H62" s="157"/>
      <c r="I62" s="157"/>
      <c r="J62" s="157"/>
      <c r="K62" s="157"/>
      <c r="L62" s="179"/>
    </row>
    <row r="63" spans="2:12" x14ac:dyDescent="0.3">
      <c r="B63" s="178"/>
      <c r="C63" s="135" t="s">
        <v>234</v>
      </c>
      <c r="D63" s="102" t="s">
        <v>235</v>
      </c>
      <c r="E63" s="97">
        <v>51247</v>
      </c>
      <c r="F63" s="97">
        <v>108596</v>
      </c>
      <c r="G63" s="97">
        <v>150988</v>
      </c>
      <c r="H63" s="97">
        <v>150325</v>
      </c>
      <c r="I63" s="97">
        <v>149763</v>
      </c>
      <c r="J63" s="224">
        <f>I63/E63-1</f>
        <v>1.9223759439576953</v>
      </c>
      <c r="K63" s="225">
        <v>200</v>
      </c>
      <c r="L63" s="179"/>
    </row>
    <row r="64" spans="2:12" x14ac:dyDescent="0.3">
      <c r="B64" s="178"/>
      <c r="C64" s="135" t="s">
        <v>135</v>
      </c>
      <c r="D64" s="102" t="s">
        <v>235</v>
      </c>
      <c r="E64" s="97">
        <v>8.9</v>
      </c>
      <c r="F64" s="97">
        <v>14.8</v>
      </c>
      <c r="G64" s="97">
        <v>22.2</v>
      </c>
      <c r="H64" s="97">
        <v>22</v>
      </c>
      <c r="I64" s="97">
        <v>22</v>
      </c>
      <c r="J64" s="224">
        <f t="shared" ref="J64:J66" si="7">I64/E64-1</f>
        <v>1.4719101123595504</v>
      </c>
      <c r="K64" s="225">
        <v>200</v>
      </c>
      <c r="L64" s="179"/>
    </row>
    <row r="65" spans="2:12" x14ac:dyDescent="0.3">
      <c r="B65" s="178"/>
      <c r="C65" s="102" t="s">
        <v>236</v>
      </c>
      <c r="D65" s="102" t="s">
        <v>171</v>
      </c>
      <c r="E65" s="97">
        <v>541085</v>
      </c>
      <c r="F65" s="97">
        <v>1496000</v>
      </c>
      <c r="G65" s="97">
        <v>1155963</v>
      </c>
      <c r="H65" s="97">
        <v>1498000</v>
      </c>
      <c r="I65" s="97">
        <v>1937737</v>
      </c>
      <c r="J65" s="224">
        <f t="shared" si="7"/>
        <v>2.5812062799744955</v>
      </c>
      <c r="K65" s="225">
        <v>200</v>
      </c>
      <c r="L65" s="179"/>
    </row>
    <row r="66" spans="2:12" x14ac:dyDescent="0.3">
      <c r="B66" s="178"/>
      <c r="C66" s="172" t="s">
        <v>237</v>
      </c>
      <c r="D66" s="170" t="s">
        <v>55</v>
      </c>
      <c r="E66" s="171">
        <f>2620/E50</f>
        <v>0.37455325232308789</v>
      </c>
      <c r="F66" s="171">
        <f>3172/F50</f>
        <v>0.46846846846846846</v>
      </c>
      <c r="G66" s="171">
        <f>2854/G50</f>
        <v>0.4453112810110782</v>
      </c>
      <c r="H66" s="171">
        <f>3030/H50</f>
        <v>0.45536519386834984</v>
      </c>
      <c r="I66" s="171">
        <f>3480/I50</f>
        <v>0.51532652154597958</v>
      </c>
      <c r="J66" s="224">
        <f t="shared" si="7"/>
        <v>0.37584313672294933</v>
      </c>
      <c r="K66" s="225">
        <v>201</v>
      </c>
      <c r="L66" s="179"/>
    </row>
    <row r="67" spans="2:12" x14ac:dyDescent="0.3">
      <c r="B67" s="178"/>
      <c r="C67" s="155" t="s">
        <v>138</v>
      </c>
      <c r="D67" s="156"/>
      <c r="E67" s="157"/>
      <c r="F67" s="157"/>
      <c r="G67" s="157"/>
      <c r="H67" s="157"/>
      <c r="I67" s="157"/>
      <c r="J67" s="157"/>
      <c r="L67" s="179"/>
    </row>
    <row r="68" spans="2:12" x14ac:dyDescent="0.3">
      <c r="B68" s="178"/>
      <c r="C68" s="135" t="s">
        <v>139</v>
      </c>
      <c r="D68" s="102" t="s">
        <v>171</v>
      </c>
      <c r="E68" s="97">
        <v>35303</v>
      </c>
      <c r="F68" s="97">
        <v>40556</v>
      </c>
      <c r="G68" s="97">
        <v>43138</v>
      </c>
      <c r="H68" s="97">
        <v>45958</v>
      </c>
      <c r="I68" s="97">
        <v>44847</v>
      </c>
      <c r="J68" s="224">
        <f>I68/E68-1</f>
        <v>0.27034529643373095</v>
      </c>
      <c r="K68" s="225">
        <v>193</v>
      </c>
      <c r="L68" s="179"/>
    </row>
    <row r="69" spans="2:12" x14ac:dyDescent="0.3">
      <c r="B69" s="178"/>
      <c r="C69" s="135" t="s">
        <v>140</v>
      </c>
      <c r="D69" s="103" t="s">
        <v>55</v>
      </c>
      <c r="E69" s="105">
        <v>0.06</v>
      </c>
      <c r="F69" s="105">
        <v>3.3000000000000002E-2</v>
      </c>
      <c r="G69" s="105">
        <v>1.7000000000000001E-2</v>
      </c>
      <c r="H69" s="105">
        <v>8.9999999999999993E-3</v>
      </c>
      <c r="I69" s="105">
        <v>3.0000000000000001E-3</v>
      </c>
      <c r="J69" s="224">
        <f>I69/E69-1</f>
        <v>-0.95</v>
      </c>
      <c r="K69" s="225">
        <v>191</v>
      </c>
      <c r="L69" s="179"/>
    </row>
    <row r="70" spans="2:12" x14ac:dyDescent="0.3">
      <c r="B70" s="178"/>
      <c r="C70" s="135" t="s">
        <v>142</v>
      </c>
      <c r="D70" s="104" t="s">
        <v>55</v>
      </c>
      <c r="E70" s="34">
        <v>0.24</v>
      </c>
      <c r="F70" s="34">
        <v>0.20100000000000001</v>
      </c>
      <c r="G70" s="34">
        <v>0.18</v>
      </c>
      <c r="H70" s="34">
        <v>0.19400000000000001</v>
      </c>
      <c r="I70" s="34">
        <v>0.18</v>
      </c>
      <c r="J70" s="224">
        <f t="shared" ref="J70" si="8">I70/E70-1</f>
        <v>-0.25</v>
      </c>
      <c r="K70" s="225">
        <v>192</v>
      </c>
      <c r="L70" s="179"/>
    </row>
    <row r="71" spans="2:12" x14ac:dyDescent="0.3">
      <c r="B71" s="178"/>
      <c r="C71" s="135" t="s">
        <v>143</v>
      </c>
      <c r="D71" s="109" t="s">
        <v>238</v>
      </c>
      <c r="E71" s="17" t="s">
        <v>115</v>
      </c>
      <c r="F71" s="17" t="s">
        <v>115</v>
      </c>
      <c r="G71" s="17">
        <v>43.49</v>
      </c>
      <c r="H71" s="17">
        <v>52.1</v>
      </c>
      <c r="I71" s="17">
        <v>58</v>
      </c>
      <c r="J71" s="224" t="s">
        <v>115</v>
      </c>
      <c r="K71" s="225">
        <v>193</v>
      </c>
      <c r="L71" s="179"/>
    </row>
    <row r="72" spans="2:12" x14ac:dyDescent="0.3">
      <c r="B72" s="178"/>
      <c r="C72" s="155" t="s">
        <v>144</v>
      </c>
      <c r="D72" s="162"/>
      <c r="E72" s="157"/>
      <c r="F72" s="157"/>
      <c r="G72" s="157"/>
      <c r="H72" s="157"/>
      <c r="I72" s="157"/>
      <c r="J72" s="157"/>
      <c r="K72" s="157"/>
      <c r="L72" s="179"/>
    </row>
    <row r="73" spans="2:12" x14ac:dyDescent="0.3">
      <c r="B73" s="178"/>
      <c r="C73" s="135" t="s">
        <v>239</v>
      </c>
      <c r="D73" s="109" t="s">
        <v>238</v>
      </c>
      <c r="E73" s="145">
        <v>0.77</v>
      </c>
      <c r="F73" s="145">
        <v>0.89</v>
      </c>
      <c r="G73" s="145">
        <v>0.91</v>
      </c>
      <c r="H73" s="145">
        <v>1.03</v>
      </c>
      <c r="I73" s="145">
        <v>0.91</v>
      </c>
      <c r="J73" s="224">
        <f>I73/E73-1</f>
        <v>0.18181818181818188</v>
      </c>
      <c r="K73" s="225" t="s">
        <v>305</v>
      </c>
      <c r="L73" s="179"/>
    </row>
    <row r="74" spans="2:12" x14ac:dyDescent="0.3">
      <c r="B74" s="178"/>
      <c r="C74" s="135" t="s">
        <v>240</v>
      </c>
      <c r="D74" s="109" t="s">
        <v>238</v>
      </c>
      <c r="E74" s="145">
        <v>3.26</v>
      </c>
      <c r="F74" s="145">
        <v>3.05</v>
      </c>
      <c r="G74" s="145">
        <v>2.99</v>
      </c>
      <c r="H74" s="145">
        <v>3.721243803717714</v>
      </c>
      <c r="I74" s="145">
        <v>3.39</v>
      </c>
      <c r="J74" s="224">
        <f t="shared" ref="J74:J75" si="9">I74/E74-1</f>
        <v>3.9877300613497146E-2</v>
      </c>
      <c r="K74" s="225" t="s">
        <v>305</v>
      </c>
      <c r="L74" s="179"/>
    </row>
    <row r="75" spans="2:12" x14ac:dyDescent="0.3">
      <c r="B75" s="178"/>
      <c r="C75" s="135" t="s">
        <v>241</v>
      </c>
      <c r="D75" s="109" t="s">
        <v>238</v>
      </c>
      <c r="E75" s="145">
        <v>0.08</v>
      </c>
      <c r="F75" s="145">
        <v>0.03</v>
      </c>
      <c r="G75" s="145">
        <v>7.0000000000000007E-2</v>
      </c>
      <c r="H75" s="145">
        <v>0.12</v>
      </c>
      <c r="I75" s="145">
        <v>0.08</v>
      </c>
      <c r="J75" s="224">
        <f t="shared" si="9"/>
        <v>0</v>
      </c>
      <c r="K75" s="225" t="s">
        <v>305</v>
      </c>
      <c r="L75" s="179"/>
    </row>
    <row r="76" spans="2:12" x14ac:dyDescent="0.3">
      <c r="B76" s="178"/>
      <c r="C76" s="135" t="s">
        <v>242</v>
      </c>
      <c r="D76" s="147" t="s">
        <v>243</v>
      </c>
      <c r="E76" s="97">
        <v>0</v>
      </c>
      <c r="F76" s="97">
        <v>0</v>
      </c>
      <c r="G76" s="97">
        <v>0</v>
      </c>
      <c r="H76" s="97">
        <v>0</v>
      </c>
      <c r="I76" s="97">
        <v>0</v>
      </c>
      <c r="J76" s="224">
        <v>0</v>
      </c>
      <c r="K76" s="225" t="s">
        <v>305</v>
      </c>
      <c r="L76" s="179"/>
    </row>
    <row r="77" spans="2:12" x14ac:dyDescent="0.3">
      <c r="B77" s="178"/>
      <c r="C77" s="135" t="s">
        <v>244</v>
      </c>
      <c r="D77" s="102" t="s">
        <v>243</v>
      </c>
      <c r="E77" s="97">
        <v>0</v>
      </c>
      <c r="F77" s="97">
        <v>7.0000000000000007E-2</v>
      </c>
      <c r="G77" s="97">
        <v>2</v>
      </c>
      <c r="H77" s="97">
        <v>0</v>
      </c>
      <c r="I77" s="97">
        <v>0</v>
      </c>
      <c r="J77" s="224">
        <v>0</v>
      </c>
      <c r="K77" s="225" t="s">
        <v>305</v>
      </c>
      <c r="L77" s="179"/>
    </row>
    <row r="78" spans="2:12" x14ac:dyDescent="0.3">
      <c r="B78" s="178"/>
      <c r="C78" s="155" t="s">
        <v>150</v>
      </c>
      <c r="D78" s="156"/>
      <c r="E78" s="157"/>
      <c r="F78" s="157"/>
      <c r="G78" s="157"/>
      <c r="H78" s="157"/>
      <c r="I78" s="157"/>
      <c r="J78" s="157"/>
      <c r="K78" s="157"/>
      <c r="L78" s="179"/>
    </row>
    <row r="79" spans="2:12" x14ac:dyDescent="0.3">
      <c r="B79" s="178"/>
      <c r="C79" s="135" t="s">
        <v>245</v>
      </c>
      <c r="D79" s="102" t="s">
        <v>171</v>
      </c>
      <c r="E79" s="97">
        <v>699101</v>
      </c>
      <c r="F79" s="97">
        <v>1007665</v>
      </c>
      <c r="G79" s="97">
        <v>945169</v>
      </c>
      <c r="H79" s="97">
        <v>976766</v>
      </c>
      <c r="I79" s="97">
        <v>253340</v>
      </c>
      <c r="J79" s="224">
        <f>I79/E79-1</f>
        <v>-0.63762031523342122</v>
      </c>
      <c r="K79" s="225">
        <v>287</v>
      </c>
      <c r="L79" s="179"/>
    </row>
    <row r="80" spans="2:12" x14ac:dyDescent="0.3">
      <c r="B80" s="178"/>
      <c r="C80" s="163" t="s">
        <v>246</v>
      </c>
      <c r="D80" s="102" t="s">
        <v>227</v>
      </c>
      <c r="E80" s="97">
        <v>3385</v>
      </c>
      <c r="F80" s="97">
        <v>12116</v>
      </c>
      <c r="G80" s="97">
        <v>28055</v>
      </c>
      <c r="H80" s="97">
        <v>106322</v>
      </c>
      <c r="I80" s="97">
        <v>171900</v>
      </c>
      <c r="J80" s="224">
        <f>I80/E80-1</f>
        <v>49.782865583456427</v>
      </c>
      <c r="K80" s="225">
        <v>39</v>
      </c>
      <c r="L80" s="179"/>
    </row>
    <row r="81" spans="2:12" x14ac:dyDescent="0.3">
      <c r="B81" s="178"/>
      <c r="C81" s="164" t="s">
        <v>153</v>
      </c>
      <c r="D81" s="165" t="s">
        <v>63</v>
      </c>
      <c r="E81" s="166">
        <v>2021</v>
      </c>
      <c r="F81" s="166">
        <v>2022</v>
      </c>
      <c r="G81" s="166">
        <v>2023</v>
      </c>
      <c r="H81" s="166">
        <v>2024</v>
      </c>
      <c r="I81" s="166">
        <v>2025</v>
      </c>
      <c r="J81" s="166" t="s">
        <v>206</v>
      </c>
      <c r="K81" s="166" t="s">
        <v>207</v>
      </c>
      <c r="L81" s="179"/>
    </row>
    <row r="82" spans="2:12" x14ac:dyDescent="0.3">
      <c r="B82" s="178"/>
      <c r="C82" s="155" t="s">
        <v>154</v>
      </c>
      <c r="D82" s="156"/>
      <c r="E82" s="157"/>
      <c r="F82" s="157"/>
      <c r="G82" s="157"/>
      <c r="H82" s="157"/>
      <c r="I82" s="157"/>
      <c r="J82" s="157"/>
      <c r="K82" s="157"/>
      <c r="L82" s="179"/>
    </row>
    <row r="83" spans="2:12" x14ac:dyDescent="0.3">
      <c r="B83" s="178"/>
      <c r="C83" s="135" t="s">
        <v>247</v>
      </c>
      <c r="D83" s="102" t="s">
        <v>227</v>
      </c>
      <c r="E83" s="17">
        <v>12</v>
      </c>
      <c r="F83" s="17">
        <v>12</v>
      </c>
      <c r="G83" s="17">
        <v>13</v>
      </c>
      <c r="H83" s="17">
        <v>14</v>
      </c>
      <c r="I83" s="17">
        <v>14</v>
      </c>
      <c r="J83" s="224">
        <f>I83/E83-1</f>
        <v>0.16666666666666674</v>
      </c>
      <c r="K83" s="225">
        <v>75</v>
      </c>
      <c r="L83" s="179"/>
    </row>
    <row r="84" spans="2:12" x14ac:dyDescent="0.3">
      <c r="B84" s="178"/>
      <c r="C84" s="102" t="s">
        <v>248</v>
      </c>
      <c r="D84" s="102" t="s">
        <v>55</v>
      </c>
      <c r="E84" s="146">
        <f>2/E83</f>
        <v>0.16666666666666666</v>
      </c>
      <c r="F84" s="146">
        <f>2/F83</f>
        <v>0.16666666666666666</v>
      </c>
      <c r="G84" s="146">
        <f>2/G83</f>
        <v>0.15384615384615385</v>
      </c>
      <c r="H84" s="146">
        <v>7.0000000000000007E-2</v>
      </c>
      <c r="I84" s="146">
        <v>0.14000000000000001</v>
      </c>
      <c r="J84" s="224">
        <f t="shared" ref="J84:J89" si="10">I84/E84-1</f>
        <v>-0.15999999999999992</v>
      </c>
      <c r="K84" s="225">
        <v>75</v>
      </c>
      <c r="L84" s="179"/>
    </row>
    <row r="85" spans="2:12" x14ac:dyDescent="0.3">
      <c r="B85" s="178"/>
      <c r="C85" s="102" t="s">
        <v>249</v>
      </c>
      <c r="D85" s="102" t="s">
        <v>55</v>
      </c>
      <c r="E85" s="146">
        <f>5/E83</f>
        <v>0.41666666666666669</v>
      </c>
      <c r="F85" s="146">
        <f>5/F83</f>
        <v>0.41666666666666669</v>
      </c>
      <c r="G85" s="146">
        <f>6/G83</f>
        <v>0.46153846153846156</v>
      </c>
      <c r="H85" s="146">
        <v>0.43</v>
      </c>
      <c r="I85" s="146">
        <v>0.43</v>
      </c>
      <c r="J85" s="224">
        <f t="shared" si="10"/>
        <v>3.2000000000000028E-2</v>
      </c>
      <c r="K85" s="225">
        <v>75</v>
      </c>
      <c r="L85" s="179"/>
    </row>
    <row r="86" spans="2:12" x14ac:dyDescent="0.3">
      <c r="B86" s="178"/>
      <c r="C86" s="102" t="s">
        <v>250</v>
      </c>
      <c r="D86" s="102" t="s">
        <v>55</v>
      </c>
      <c r="E86" s="146">
        <f>5/E83</f>
        <v>0.41666666666666669</v>
      </c>
      <c r="F86" s="146">
        <f>5/F83</f>
        <v>0.41666666666666669</v>
      </c>
      <c r="G86" s="146">
        <f>5/G83</f>
        <v>0.38461538461538464</v>
      </c>
      <c r="H86" s="146">
        <v>0.43</v>
      </c>
      <c r="I86" s="146">
        <v>0.43</v>
      </c>
      <c r="J86" s="224">
        <f t="shared" si="10"/>
        <v>3.2000000000000028E-2</v>
      </c>
      <c r="K86" s="225">
        <v>75</v>
      </c>
      <c r="L86" s="179"/>
    </row>
    <row r="87" spans="2:12" x14ac:dyDescent="0.3">
      <c r="B87" s="178"/>
      <c r="C87" s="102" t="s">
        <v>251</v>
      </c>
      <c r="D87" s="102" t="s">
        <v>55</v>
      </c>
      <c r="E87" s="146">
        <f>2/E83</f>
        <v>0.16666666666666666</v>
      </c>
      <c r="F87" s="146">
        <f>2/F83</f>
        <v>0.16666666666666666</v>
      </c>
      <c r="G87" s="146">
        <f>3/G83</f>
        <v>0.23076923076923078</v>
      </c>
      <c r="H87" s="146">
        <v>0.28999999999999998</v>
      </c>
      <c r="I87" s="146">
        <v>0.43</v>
      </c>
      <c r="J87" s="224">
        <f t="shared" si="10"/>
        <v>1.58</v>
      </c>
      <c r="K87" s="225">
        <v>75</v>
      </c>
      <c r="L87" s="179"/>
    </row>
    <row r="88" spans="2:12" x14ac:dyDescent="0.3">
      <c r="B88" s="178"/>
      <c r="C88" s="135" t="s">
        <v>252</v>
      </c>
      <c r="D88" s="102" t="s">
        <v>227</v>
      </c>
      <c r="E88" s="17">
        <v>10</v>
      </c>
      <c r="F88" s="17">
        <v>10</v>
      </c>
      <c r="G88" s="17">
        <v>10</v>
      </c>
      <c r="H88" s="17">
        <v>11</v>
      </c>
      <c r="I88" s="17">
        <v>11</v>
      </c>
      <c r="J88" s="224">
        <f t="shared" si="10"/>
        <v>0.10000000000000009</v>
      </c>
      <c r="K88" s="225">
        <v>78</v>
      </c>
      <c r="L88" s="179"/>
    </row>
    <row r="89" spans="2:12" x14ac:dyDescent="0.3">
      <c r="B89" s="178"/>
      <c r="C89" s="102" t="s">
        <v>253</v>
      </c>
      <c r="D89" s="102" t="s">
        <v>55</v>
      </c>
      <c r="E89" s="146">
        <f>1/E88</f>
        <v>0.1</v>
      </c>
      <c r="F89" s="146">
        <f>1/F88</f>
        <v>0.1</v>
      </c>
      <c r="G89" s="146">
        <f>1/G88</f>
        <v>0.1</v>
      </c>
      <c r="H89" s="146">
        <f>2/H88</f>
        <v>0.18181818181818182</v>
      </c>
      <c r="I89" s="146">
        <f>2/I88</f>
        <v>0.18181818181818182</v>
      </c>
      <c r="J89" s="224">
        <f t="shared" si="10"/>
        <v>0.81818181818181812</v>
      </c>
      <c r="K89" s="225">
        <v>78</v>
      </c>
      <c r="L89" s="179"/>
    </row>
    <row r="90" spans="2:12" x14ac:dyDescent="0.3">
      <c r="B90" s="178"/>
      <c r="C90" s="155" t="s">
        <v>162</v>
      </c>
      <c r="D90" s="156"/>
      <c r="E90" s="157"/>
      <c r="F90" s="157"/>
      <c r="G90" s="157"/>
      <c r="H90" s="157"/>
      <c r="I90" s="157"/>
      <c r="J90" s="157"/>
      <c r="K90" s="157"/>
      <c r="L90" s="179"/>
    </row>
    <row r="91" spans="2:12" x14ac:dyDescent="0.3">
      <c r="B91" s="178"/>
      <c r="C91" s="135" t="s">
        <v>254</v>
      </c>
      <c r="D91" s="102" t="s">
        <v>243</v>
      </c>
      <c r="E91" s="17">
        <v>20</v>
      </c>
      <c r="F91" s="17">
        <v>21</v>
      </c>
      <c r="G91" s="17">
        <v>13</v>
      </c>
      <c r="H91" s="17">
        <v>22</v>
      </c>
      <c r="I91" s="17">
        <v>30</v>
      </c>
      <c r="J91" s="224">
        <f>I91/E91-1</f>
        <v>0.5</v>
      </c>
      <c r="K91" s="225">
        <v>242</v>
      </c>
      <c r="L91" s="179"/>
    </row>
    <row r="92" spans="2:12" x14ac:dyDescent="0.3">
      <c r="B92" s="178"/>
      <c r="C92" s="155" t="s">
        <v>164</v>
      </c>
      <c r="D92" s="156"/>
      <c r="E92" s="157"/>
      <c r="F92" s="157"/>
      <c r="G92" s="157"/>
      <c r="H92" s="157"/>
      <c r="I92" s="157"/>
      <c r="J92" s="157"/>
      <c r="K92" s="157"/>
      <c r="L92" s="179"/>
    </row>
    <row r="93" spans="2:12" x14ac:dyDescent="0.3">
      <c r="B93" s="178"/>
      <c r="C93" s="135" t="s">
        <v>165</v>
      </c>
      <c r="D93" s="102" t="s">
        <v>243</v>
      </c>
      <c r="E93" s="60">
        <v>7.4</v>
      </c>
      <c r="F93" s="60">
        <v>7.7</v>
      </c>
      <c r="G93" s="60">
        <v>7.83</v>
      </c>
      <c r="H93" s="60">
        <v>7.7</v>
      </c>
      <c r="I93" s="60">
        <v>7.7</v>
      </c>
      <c r="J93" s="224">
        <f>I93/E93-1</f>
        <v>4.0540540540540571E-2</v>
      </c>
      <c r="K93" s="225">
        <v>233</v>
      </c>
      <c r="L93" s="179"/>
    </row>
    <row r="94" spans="2:12" x14ac:dyDescent="0.3">
      <c r="B94" s="178"/>
      <c r="C94" s="155" t="s">
        <v>255</v>
      </c>
      <c r="D94" s="156"/>
      <c r="E94" s="157"/>
      <c r="F94" s="157"/>
      <c r="G94" s="157"/>
      <c r="H94" s="157"/>
      <c r="I94" s="157"/>
      <c r="J94" s="157"/>
      <c r="K94" s="157"/>
      <c r="L94" s="179"/>
    </row>
    <row r="95" spans="2:12" x14ac:dyDescent="0.3">
      <c r="B95" s="178"/>
      <c r="C95" s="102" t="s">
        <v>300</v>
      </c>
      <c r="D95" s="102" t="s">
        <v>294</v>
      </c>
      <c r="E95" s="97" t="s">
        <v>115</v>
      </c>
      <c r="F95" s="97" t="s">
        <v>115</v>
      </c>
      <c r="G95" s="97" t="s">
        <v>115</v>
      </c>
      <c r="H95" s="97">
        <v>366631.22885999997</v>
      </c>
      <c r="I95" s="97">
        <v>352430</v>
      </c>
      <c r="J95" s="224" t="s">
        <v>115</v>
      </c>
      <c r="K95" s="225">
        <v>265</v>
      </c>
      <c r="L95" s="179"/>
    </row>
    <row r="96" spans="2:12" x14ac:dyDescent="0.3">
      <c r="B96" s="178"/>
      <c r="C96" s="170" t="s">
        <v>301</v>
      </c>
      <c r="D96" s="102" t="s">
        <v>294</v>
      </c>
      <c r="E96" s="97">
        <v>143931</v>
      </c>
      <c r="F96" s="97">
        <v>146375</v>
      </c>
      <c r="G96" s="97">
        <v>86339</v>
      </c>
      <c r="H96" s="97">
        <v>181539.68468000001</v>
      </c>
      <c r="I96" s="97">
        <v>154226</v>
      </c>
      <c r="J96" s="224">
        <f>I96/E96-1</f>
        <v>7.1527329067400336E-2</v>
      </c>
      <c r="K96" s="225">
        <v>265</v>
      </c>
      <c r="L96" s="179"/>
    </row>
    <row r="97" spans="2:12" x14ac:dyDescent="0.3">
      <c r="B97" s="178"/>
      <c r="C97" s="102" t="s">
        <v>302</v>
      </c>
      <c r="D97" s="102" t="s">
        <v>294</v>
      </c>
      <c r="E97" s="97" t="s">
        <v>115</v>
      </c>
      <c r="F97" s="97" t="s">
        <v>115</v>
      </c>
      <c r="G97" s="97" t="s">
        <v>115</v>
      </c>
      <c r="H97" s="97">
        <v>185091.54418</v>
      </c>
      <c r="I97" s="97">
        <v>198204</v>
      </c>
      <c r="J97" s="224" t="s">
        <v>115</v>
      </c>
      <c r="K97" s="225">
        <v>265</v>
      </c>
      <c r="L97" s="179"/>
    </row>
    <row r="98" spans="2:12" x14ac:dyDescent="0.3">
      <c r="B98" s="178"/>
      <c r="C98" s="102" t="s">
        <v>303</v>
      </c>
      <c r="D98" s="102" t="s">
        <v>55</v>
      </c>
      <c r="E98" s="97" t="s">
        <v>115</v>
      </c>
      <c r="F98" s="97" t="s">
        <v>115</v>
      </c>
      <c r="G98" s="97" t="s">
        <v>115</v>
      </c>
      <c r="H98" s="97">
        <f>((H96*1000)/847138211.47)+((H97*1000/847138211.47))</f>
        <v>0.43278797237088584</v>
      </c>
      <c r="I98" s="97">
        <v>0.4</v>
      </c>
      <c r="J98" s="224" t="s">
        <v>115</v>
      </c>
      <c r="K98" s="225">
        <v>266</v>
      </c>
      <c r="L98" s="179"/>
    </row>
    <row r="99" spans="2:12" x14ac:dyDescent="0.3">
      <c r="B99" s="178"/>
      <c r="C99" s="102" t="s">
        <v>304</v>
      </c>
      <c r="D99" s="102" t="s">
        <v>294</v>
      </c>
      <c r="E99" s="97">
        <v>96949</v>
      </c>
      <c r="F99" s="97">
        <v>93495</v>
      </c>
      <c r="G99" s="97">
        <v>32586</v>
      </c>
      <c r="H99" s="97">
        <v>99604.61047</v>
      </c>
      <c r="I99" s="97">
        <v>193089</v>
      </c>
      <c r="J99" s="224">
        <f>I99/E99-1</f>
        <v>0.99165540645081429</v>
      </c>
      <c r="K99" s="225">
        <v>268</v>
      </c>
      <c r="L99" s="179"/>
    </row>
    <row r="100" spans="2:12" x14ac:dyDescent="0.3">
      <c r="B100" s="178"/>
      <c r="C100" s="155" t="s">
        <v>177</v>
      </c>
      <c r="D100" s="156"/>
      <c r="E100" s="157"/>
      <c r="F100" s="157"/>
      <c r="G100" s="157"/>
      <c r="H100" s="157"/>
      <c r="I100" s="157"/>
      <c r="J100" s="157"/>
      <c r="K100" s="157"/>
      <c r="L100" s="179"/>
    </row>
    <row r="101" spans="2:12" x14ac:dyDescent="0.3">
      <c r="B101" s="178"/>
      <c r="C101" s="148" t="s">
        <v>178</v>
      </c>
      <c r="D101" s="148" t="s">
        <v>243</v>
      </c>
      <c r="E101" s="96">
        <v>13452</v>
      </c>
      <c r="F101" s="96">
        <v>16300</v>
      </c>
      <c r="G101" s="96">
        <v>15007</v>
      </c>
      <c r="H101" s="96">
        <v>15996</v>
      </c>
      <c r="I101" s="96">
        <v>15807</v>
      </c>
      <c r="J101" s="224">
        <f>I101/E101-1</f>
        <v>0.17506690454950946</v>
      </c>
      <c r="K101" s="225">
        <v>90</v>
      </c>
      <c r="L101" s="179"/>
    </row>
    <row r="102" spans="2:12" x14ac:dyDescent="0.3">
      <c r="B102" s="178"/>
      <c r="C102" s="168" t="s">
        <v>256</v>
      </c>
      <c r="D102" s="102" t="s">
        <v>55</v>
      </c>
      <c r="E102" s="107" t="s">
        <v>115</v>
      </c>
      <c r="F102" s="107" t="s">
        <v>115</v>
      </c>
      <c r="G102" s="33">
        <f>62/G101</f>
        <v>4.1314053441727193E-3</v>
      </c>
      <c r="H102" s="33">
        <v>0.17</v>
      </c>
      <c r="I102" s="33">
        <v>0.16</v>
      </c>
      <c r="J102" s="224" t="s">
        <v>115</v>
      </c>
      <c r="K102" s="225">
        <v>90</v>
      </c>
      <c r="L102" s="179"/>
    </row>
    <row r="103" spans="2:12" x14ac:dyDescent="0.3">
      <c r="B103" s="178"/>
      <c r="C103" s="168" t="s">
        <v>257</v>
      </c>
      <c r="D103" s="102" t="s">
        <v>55</v>
      </c>
      <c r="E103" s="107" t="s">
        <v>115</v>
      </c>
      <c r="F103" s="107" t="s">
        <v>115</v>
      </c>
      <c r="G103" s="46">
        <v>0.252</v>
      </c>
      <c r="H103" s="46">
        <v>0.26</v>
      </c>
      <c r="I103" s="46">
        <v>0.24</v>
      </c>
      <c r="J103" s="224" t="s">
        <v>115</v>
      </c>
      <c r="K103" s="225">
        <v>90</v>
      </c>
      <c r="L103" s="179"/>
    </row>
    <row r="104" spans="2:12" x14ac:dyDescent="0.3">
      <c r="B104" s="178"/>
      <c r="C104" s="102" t="s">
        <v>258</v>
      </c>
      <c r="D104" s="102" t="s">
        <v>243</v>
      </c>
      <c r="E104" s="17">
        <v>39</v>
      </c>
      <c r="F104" s="17">
        <v>37</v>
      </c>
      <c r="G104" s="17">
        <v>57</v>
      </c>
      <c r="H104" s="17">
        <v>76</v>
      </c>
      <c r="I104" s="17">
        <v>101</v>
      </c>
      <c r="J104" s="224">
        <f>I104/E104-1</f>
        <v>1.5897435897435899</v>
      </c>
      <c r="K104" s="225">
        <v>249</v>
      </c>
      <c r="L104" s="179"/>
    </row>
    <row r="105" spans="2:12" x14ac:dyDescent="0.3">
      <c r="B105" s="178"/>
      <c r="C105" s="168" t="s">
        <v>259</v>
      </c>
      <c r="D105" s="102" t="s">
        <v>55</v>
      </c>
      <c r="E105" s="17" t="s">
        <v>115</v>
      </c>
      <c r="F105" s="17" t="s">
        <v>115</v>
      </c>
      <c r="G105" s="46">
        <f>29/62</f>
        <v>0.46774193548387094</v>
      </c>
      <c r="H105" s="46">
        <v>0.61</v>
      </c>
      <c r="I105" s="46">
        <v>0.72</v>
      </c>
      <c r="J105" s="224" t="s">
        <v>115</v>
      </c>
      <c r="K105" s="225">
        <v>249</v>
      </c>
      <c r="L105" s="179"/>
    </row>
    <row r="106" spans="2:12" x14ac:dyDescent="0.3">
      <c r="B106" s="178"/>
      <c r="C106" s="168" t="s">
        <v>260</v>
      </c>
      <c r="D106" s="102" t="s">
        <v>55</v>
      </c>
      <c r="E106" s="34">
        <v>0.28999999999999998</v>
      </c>
      <c r="F106" s="34">
        <v>0.28499999999999998</v>
      </c>
      <c r="G106" s="34">
        <v>0.28899999999999998</v>
      </c>
      <c r="H106" s="34">
        <v>0.92</v>
      </c>
      <c r="I106" s="34">
        <v>0.98</v>
      </c>
      <c r="J106" s="224">
        <f>I106/E106-1</f>
        <v>2.3793103448275863</v>
      </c>
      <c r="K106" s="225">
        <v>249</v>
      </c>
      <c r="L106" s="179"/>
    </row>
    <row r="107" spans="2:12" x14ac:dyDescent="0.3">
      <c r="B107" s="178"/>
      <c r="C107" s="102" t="s">
        <v>295</v>
      </c>
      <c r="D107" s="109" t="s">
        <v>55</v>
      </c>
      <c r="E107" s="34">
        <v>0.43</v>
      </c>
      <c r="F107" s="34">
        <v>0.55000000000000004</v>
      </c>
      <c r="G107" s="46">
        <f>49/62</f>
        <v>0.79032258064516125</v>
      </c>
      <c r="H107" s="46">
        <v>0.99</v>
      </c>
      <c r="I107" s="46">
        <v>1</v>
      </c>
      <c r="J107" s="224">
        <f>I107/E107-1</f>
        <v>1.3255813953488373</v>
      </c>
      <c r="K107" s="225">
        <v>249</v>
      </c>
      <c r="L107" s="179"/>
    </row>
    <row r="108" spans="2:12" x14ac:dyDescent="0.3">
      <c r="B108" s="178"/>
      <c r="C108" s="155" t="s">
        <v>182</v>
      </c>
      <c r="D108" s="156"/>
      <c r="E108" s="157"/>
      <c r="F108" s="157"/>
      <c r="G108" s="157"/>
      <c r="H108" s="157"/>
      <c r="I108" s="157"/>
      <c r="J108" s="157"/>
      <c r="K108" s="157"/>
      <c r="L108" s="179"/>
    </row>
    <row r="109" spans="2:12" x14ac:dyDescent="0.3">
      <c r="B109" s="178"/>
      <c r="C109" s="163" t="s">
        <v>261</v>
      </c>
      <c r="D109" s="102" t="s">
        <v>243</v>
      </c>
      <c r="E109" s="17">
        <v>0</v>
      </c>
      <c r="F109" s="17">
        <v>0</v>
      </c>
      <c r="G109" s="17">
        <v>3</v>
      </c>
      <c r="H109" s="17">
        <v>0</v>
      </c>
      <c r="I109" s="17">
        <v>0</v>
      </c>
      <c r="J109" s="224">
        <v>0</v>
      </c>
      <c r="K109" s="225">
        <v>227</v>
      </c>
      <c r="L109" s="179"/>
    </row>
    <row r="110" spans="2:12" x14ac:dyDescent="0.3">
      <c r="B110" s="178"/>
      <c r="C110" s="155" t="s">
        <v>184</v>
      </c>
      <c r="D110" s="156"/>
      <c r="E110" s="157"/>
      <c r="F110" s="157"/>
      <c r="G110" s="157"/>
      <c r="H110" s="157"/>
      <c r="I110" s="157"/>
      <c r="J110" s="157"/>
      <c r="K110" s="157"/>
      <c r="L110" s="179"/>
    </row>
    <row r="111" spans="2:12" x14ac:dyDescent="0.3">
      <c r="B111" s="178"/>
      <c r="C111" s="135" t="s">
        <v>185</v>
      </c>
      <c r="D111" s="102" t="s">
        <v>233</v>
      </c>
      <c r="E111" s="17">
        <v>60</v>
      </c>
      <c r="F111" s="17">
        <v>66</v>
      </c>
      <c r="G111" s="17">
        <v>66</v>
      </c>
      <c r="H111" s="17">
        <v>72</v>
      </c>
      <c r="I111" s="17">
        <v>77</v>
      </c>
      <c r="J111" s="228" t="s">
        <v>189</v>
      </c>
      <c r="K111" s="225">
        <v>36</v>
      </c>
      <c r="L111" s="179"/>
    </row>
    <row r="112" spans="2:12" x14ac:dyDescent="0.3">
      <c r="B112" s="178"/>
      <c r="C112" s="135" t="s">
        <v>262</v>
      </c>
      <c r="D112" s="102" t="s">
        <v>263</v>
      </c>
      <c r="E112" s="17" t="s">
        <v>264</v>
      </c>
      <c r="F112" s="17" t="s">
        <v>188</v>
      </c>
      <c r="G112" s="17" t="s">
        <v>187</v>
      </c>
      <c r="H112" s="17" t="s">
        <v>188</v>
      </c>
      <c r="I112" s="17" t="s">
        <v>188</v>
      </c>
      <c r="J112" s="228" t="s">
        <v>189</v>
      </c>
      <c r="K112" s="225">
        <v>36</v>
      </c>
      <c r="L112" s="179"/>
    </row>
    <row r="113" spans="2:12" x14ac:dyDescent="0.3">
      <c r="B113" s="178"/>
      <c r="C113" s="135" t="s">
        <v>265</v>
      </c>
      <c r="D113" s="102" t="s">
        <v>233</v>
      </c>
      <c r="E113" s="61">
        <v>24.6</v>
      </c>
      <c r="F113" s="61">
        <v>23.29</v>
      </c>
      <c r="G113" s="17">
        <v>20.8</v>
      </c>
      <c r="H113" s="17">
        <v>22.9</v>
      </c>
      <c r="I113" s="17">
        <v>23.6</v>
      </c>
      <c r="J113" s="228" t="s">
        <v>297</v>
      </c>
      <c r="K113" s="225">
        <v>36</v>
      </c>
      <c r="L113" s="179"/>
    </row>
    <row r="114" spans="2:12" x14ac:dyDescent="0.3">
      <c r="B114" s="178"/>
      <c r="C114" s="135" t="s">
        <v>266</v>
      </c>
      <c r="D114" s="102" t="s">
        <v>263</v>
      </c>
      <c r="E114" s="17" t="s">
        <v>267</v>
      </c>
      <c r="F114" s="17" t="s">
        <v>267</v>
      </c>
      <c r="G114" s="17" t="s">
        <v>267</v>
      </c>
      <c r="H114" s="17" t="s">
        <v>267</v>
      </c>
      <c r="I114" s="17" t="s">
        <v>298</v>
      </c>
      <c r="J114" s="228" t="s">
        <v>189</v>
      </c>
      <c r="K114" s="225" t="s">
        <v>115</v>
      </c>
      <c r="L114" s="179"/>
    </row>
    <row r="115" spans="2:12" x14ac:dyDescent="0.3">
      <c r="B115" s="178"/>
      <c r="C115" s="135" t="s">
        <v>268</v>
      </c>
      <c r="D115" s="102" t="s">
        <v>263</v>
      </c>
      <c r="E115" s="17" t="s">
        <v>269</v>
      </c>
      <c r="F115" s="17" t="s">
        <v>269</v>
      </c>
      <c r="G115" s="17" t="s">
        <v>270</v>
      </c>
      <c r="H115" s="17" t="s">
        <v>296</v>
      </c>
      <c r="I115" s="17" t="s">
        <v>296</v>
      </c>
      <c r="J115" s="228" t="s">
        <v>189</v>
      </c>
      <c r="K115" s="225">
        <v>36</v>
      </c>
      <c r="L115" s="179"/>
    </row>
    <row r="116" spans="2:12" ht="6" customHeight="1" thickBot="1" x14ac:dyDescent="0.35">
      <c r="B116" s="180"/>
      <c r="C116" s="181"/>
      <c r="D116" s="182"/>
      <c r="E116" s="183"/>
      <c r="F116" s="183"/>
      <c r="G116" s="183"/>
      <c r="H116" s="183"/>
      <c r="I116" s="183"/>
      <c r="J116" s="183"/>
      <c r="K116" s="183"/>
      <c r="L116" s="184"/>
    </row>
  </sheetData>
  <sheetProtection formatCells="0" formatColumns="0" formatRows="0" insertColumns="0" insertRows="0" sort="0" autoFilter="0" pivotTables="0"/>
  <pageMargins left="0.7" right="0.7" top="0.75" bottom="0.75" header="0.3" footer="0.3"/>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DB5C2-9FA6-48C4-82E3-40F08F1F9D5F}">
  <dimension ref="B1:N16"/>
  <sheetViews>
    <sheetView showGridLines="0" workbookViewId="0">
      <selection activeCell="L15" sqref="L15"/>
    </sheetView>
  </sheetViews>
  <sheetFormatPr baseColWidth="10" defaultColWidth="11.25" defaultRowHeight="14" x14ac:dyDescent="0.3"/>
  <cols>
    <col min="1" max="1" width="1.33203125" style="195" customWidth="1"/>
    <col min="2" max="2" width="2" style="195" customWidth="1"/>
    <col min="3" max="3" width="14.25" style="195" customWidth="1"/>
    <col min="4" max="4" width="21.25" style="195" customWidth="1"/>
    <col min="5" max="5" width="42.08203125" style="195" customWidth="1"/>
    <col min="6" max="6" width="12" style="196" bestFit="1" customWidth="1"/>
    <col min="7" max="7" width="11.25" style="196"/>
    <col min="8" max="12" width="11.25" style="196" customWidth="1"/>
    <col min="13" max="13" width="11.25" style="196"/>
    <col min="14" max="14" width="1.58203125" style="195" customWidth="1"/>
    <col min="15" max="16384" width="11.25" style="195"/>
  </cols>
  <sheetData>
    <row r="1" spans="2:14" ht="7.9" customHeight="1" thickBot="1" x14ac:dyDescent="0.35"/>
    <row r="2" spans="2:14" x14ac:dyDescent="0.3">
      <c r="B2" s="83"/>
      <c r="C2" s="84"/>
      <c r="D2" s="84"/>
      <c r="E2" s="84"/>
      <c r="F2" s="191"/>
      <c r="G2" s="191"/>
      <c r="H2" s="191"/>
      <c r="I2" s="191"/>
      <c r="J2" s="191"/>
      <c r="K2" s="191"/>
      <c r="L2" s="191"/>
      <c r="M2" s="191"/>
      <c r="N2" s="192"/>
    </row>
    <row r="3" spans="2:14" ht="17.5" x14ac:dyDescent="0.3">
      <c r="B3" s="27"/>
      <c r="C3" s="197" t="s">
        <v>271</v>
      </c>
      <c r="D3"/>
      <c r="E3"/>
      <c r="F3" s="1"/>
      <c r="G3" s="1"/>
      <c r="H3" s="1"/>
      <c r="I3" s="1"/>
      <c r="J3" s="1"/>
      <c r="K3" s="1"/>
      <c r="L3" s="1"/>
      <c r="M3" s="1"/>
      <c r="N3" s="193"/>
    </row>
    <row r="4" spans="2:14" x14ac:dyDescent="0.3">
      <c r="B4" s="27"/>
      <c r="C4" s="135" t="s">
        <v>299</v>
      </c>
      <c r="D4"/>
      <c r="E4"/>
      <c r="F4" s="1"/>
      <c r="G4" s="1"/>
      <c r="H4" s="1"/>
      <c r="I4" s="1"/>
      <c r="J4" s="1"/>
      <c r="K4" s="1"/>
      <c r="L4" s="1"/>
      <c r="M4" s="1"/>
      <c r="N4" s="193"/>
    </row>
    <row r="5" spans="2:14" ht="7.9" customHeight="1" x14ac:dyDescent="0.3">
      <c r="B5" s="27"/>
      <c r="C5"/>
      <c r="D5"/>
      <c r="E5"/>
      <c r="F5" s="1"/>
      <c r="G5" s="1"/>
      <c r="H5" s="1"/>
      <c r="I5" s="1"/>
      <c r="J5" s="1"/>
      <c r="K5" s="1"/>
      <c r="L5" s="1"/>
      <c r="M5" s="1"/>
      <c r="N5" s="193"/>
    </row>
    <row r="6" spans="2:14" x14ac:dyDescent="0.3">
      <c r="B6" s="27"/>
      <c r="C6"/>
      <c r="D6"/>
      <c r="E6"/>
      <c r="F6" s="1"/>
      <c r="G6" s="213" t="s">
        <v>272</v>
      </c>
      <c r="H6" s="213"/>
      <c r="I6" s="213"/>
      <c r="J6" s="213"/>
      <c r="K6" s="213"/>
      <c r="L6" s="214" t="s">
        <v>273</v>
      </c>
      <c r="M6" s="215"/>
      <c r="N6" s="193"/>
    </row>
    <row r="7" spans="2:14" x14ac:dyDescent="0.3">
      <c r="B7" s="27"/>
      <c r="C7" s="150" t="s">
        <v>274</v>
      </c>
      <c r="D7" s="150" t="s">
        <v>275</v>
      </c>
      <c r="E7" s="150" t="s">
        <v>276</v>
      </c>
      <c r="F7" s="188" t="s">
        <v>277</v>
      </c>
      <c r="G7" s="111">
        <v>2021</v>
      </c>
      <c r="H7" s="111">
        <v>2022</v>
      </c>
      <c r="I7" s="111">
        <v>2023</v>
      </c>
      <c r="J7" s="111">
        <v>2024</v>
      </c>
      <c r="K7" s="111">
        <v>2025</v>
      </c>
      <c r="L7" s="111">
        <v>2026</v>
      </c>
      <c r="M7" s="188" t="s">
        <v>278</v>
      </c>
      <c r="N7" s="193"/>
    </row>
    <row r="8" spans="2:14" x14ac:dyDescent="0.3">
      <c r="B8" s="27"/>
      <c r="C8" s="136" t="s">
        <v>279</v>
      </c>
      <c r="D8" s="136" t="s">
        <v>280</v>
      </c>
      <c r="E8" s="136" t="s">
        <v>281</v>
      </c>
      <c r="F8" s="202">
        <v>2027</v>
      </c>
      <c r="G8" s="137">
        <f>[1]Data!E13</f>
        <v>20980</v>
      </c>
      <c r="H8" s="198">
        <f>([1]Data!F13/[1]Data!E13)-1</f>
        <v>-0.25390848427073398</v>
      </c>
      <c r="I8" s="198">
        <f>([1]Data!G13/[1]Data!E13)-1</f>
        <v>-0.42583412774070539</v>
      </c>
      <c r="J8" s="210">
        <f>[1]Data!H13/[1]Data!E13-1</f>
        <v>-0.55395757864632988</v>
      </c>
      <c r="K8" s="210">
        <f>Data!J13</f>
        <v>-0.70152526215443278</v>
      </c>
      <c r="L8" s="223">
        <f>2200/G8-1</f>
        <v>-0.89513822688274547</v>
      </c>
      <c r="M8" s="203">
        <v>-1</v>
      </c>
      <c r="N8" s="193"/>
    </row>
    <row r="9" spans="2:14" x14ac:dyDescent="0.3">
      <c r="B9" s="27"/>
      <c r="C9" s="136" t="s">
        <v>279</v>
      </c>
      <c r="D9" s="136" t="s">
        <v>280</v>
      </c>
      <c r="E9" s="136" t="s">
        <v>282</v>
      </c>
      <c r="F9" s="202">
        <v>2050</v>
      </c>
      <c r="G9" s="137">
        <f>[1]Data!E14</f>
        <v>9215449</v>
      </c>
      <c r="H9" s="137">
        <f>[1]Data!F14</f>
        <v>7228948</v>
      </c>
      <c r="I9" s="137">
        <f>[1]Data!G14</f>
        <v>9688774</v>
      </c>
      <c r="J9" s="211">
        <v>13773205.58</v>
      </c>
      <c r="K9" s="137">
        <v>14232969</v>
      </c>
      <c r="L9" s="222" t="s">
        <v>115</v>
      </c>
      <c r="M9" s="203">
        <v>-1</v>
      </c>
      <c r="N9" s="193"/>
    </row>
    <row r="10" spans="2:14" x14ac:dyDescent="0.3">
      <c r="B10" s="27"/>
      <c r="C10" s="136" t="s">
        <v>279</v>
      </c>
      <c r="D10" s="136" t="s">
        <v>82</v>
      </c>
      <c r="E10" s="136" t="s">
        <v>283</v>
      </c>
      <c r="F10" s="202">
        <v>2027</v>
      </c>
      <c r="G10" s="190">
        <f>[1]Data!E21</f>
        <v>0.71285713733051614</v>
      </c>
      <c r="H10" s="190">
        <f>[1]Data!F21</f>
        <v>0.82975595877852948</v>
      </c>
      <c r="I10" s="190">
        <f>[1]Data!G21</f>
        <v>0.85914806694027468</v>
      </c>
      <c r="J10" s="190">
        <v>0.89</v>
      </c>
      <c r="K10" s="190">
        <v>0.93</v>
      </c>
      <c r="L10" s="207">
        <v>0.96</v>
      </c>
      <c r="M10" s="203">
        <v>1</v>
      </c>
      <c r="N10" s="193"/>
    </row>
    <row r="11" spans="2:14" x14ac:dyDescent="0.3">
      <c r="B11" s="27"/>
      <c r="C11" s="136" t="s">
        <v>279</v>
      </c>
      <c r="D11" s="136" t="s">
        <v>284</v>
      </c>
      <c r="E11" s="136" t="s">
        <v>285</v>
      </c>
      <c r="F11" s="202">
        <v>2035</v>
      </c>
      <c r="G11" s="190">
        <f>[1]Data!E39</f>
        <v>0.41</v>
      </c>
      <c r="H11" s="190">
        <f>[1]Data!F39</f>
        <v>0.53</v>
      </c>
      <c r="I11" s="190">
        <f>[1]Data!G39</f>
        <v>0.51</v>
      </c>
      <c r="J11" s="190">
        <v>0.56000000000000005</v>
      </c>
      <c r="K11" s="190">
        <v>0.59</v>
      </c>
      <c r="L11" s="207">
        <v>0.6</v>
      </c>
      <c r="M11" s="203">
        <v>0.8</v>
      </c>
      <c r="N11" s="193"/>
    </row>
    <row r="12" spans="2:14" x14ac:dyDescent="0.3">
      <c r="B12" s="27"/>
      <c r="C12" s="136" t="s">
        <v>116</v>
      </c>
      <c r="D12" s="136" t="s">
        <v>286</v>
      </c>
      <c r="E12" s="136" t="s">
        <v>307</v>
      </c>
      <c r="F12" s="202">
        <v>2024</v>
      </c>
      <c r="G12" s="199">
        <f>[1]Data!E69</f>
        <v>0.06</v>
      </c>
      <c r="H12" s="199">
        <f>[1]Data!F69</f>
        <v>3.3000000000000002E-2</v>
      </c>
      <c r="I12" s="199">
        <f>[1]Data!G69</f>
        <v>1.7000000000000001E-2</v>
      </c>
      <c r="J12" s="212">
        <v>8.9999999999999993E-3</v>
      </c>
      <c r="K12" s="212">
        <v>3.0000000000000001E-3</v>
      </c>
      <c r="L12" s="208" t="s">
        <v>306</v>
      </c>
      <c r="M12" s="204" t="s">
        <v>306</v>
      </c>
      <c r="N12" s="193"/>
    </row>
    <row r="13" spans="2:14" x14ac:dyDescent="0.3">
      <c r="B13" s="27"/>
      <c r="C13" s="136" t="s">
        <v>116</v>
      </c>
      <c r="D13" s="136" t="s">
        <v>287</v>
      </c>
      <c r="E13" s="136" t="s">
        <v>308</v>
      </c>
      <c r="F13" s="202">
        <v>2030</v>
      </c>
      <c r="G13" s="137">
        <f>[1]Data!E80</f>
        <v>22701</v>
      </c>
      <c r="H13" s="137">
        <f>[1]Data!F80</f>
        <v>28902</v>
      </c>
      <c r="I13" s="137">
        <f>[1]Data!G80</f>
        <v>48055</v>
      </c>
      <c r="J13" s="137">
        <v>106322</v>
      </c>
      <c r="K13" s="137">
        <v>171900</v>
      </c>
      <c r="L13" s="209">
        <v>225300</v>
      </c>
      <c r="M13" s="205">
        <v>415725</v>
      </c>
      <c r="N13" s="193"/>
    </row>
    <row r="14" spans="2:14" x14ac:dyDescent="0.3">
      <c r="B14" s="27"/>
      <c r="C14" s="136" t="s">
        <v>153</v>
      </c>
      <c r="D14" s="136" t="s">
        <v>288</v>
      </c>
      <c r="E14" s="136" t="s">
        <v>289</v>
      </c>
      <c r="F14" s="202">
        <v>2030</v>
      </c>
      <c r="G14" s="189">
        <f>[1]Data!E112</f>
        <v>60</v>
      </c>
      <c r="H14" s="189">
        <f>[1]Data!F112</f>
        <v>66</v>
      </c>
      <c r="I14" s="189">
        <f>[1]Data!G112</f>
        <v>66</v>
      </c>
      <c r="J14" s="189">
        <v>72</v>
      </c>
      <c r="K14" s="189">
        <v>77</v>
      </c>
      <c r="L14" s="208">
        <v>74</v>
      </c>
      <c r="M14" s="204">
        <v>80</v>
      </c>
      <c r="N14" s="193"/>
    </row>
    <row r="15" spans="2:14" x14ac:dyDescent="0.3">
      <c r="B15" s="27"/>
      <c r="C15" s="136" t="s">
        <v>153</v>
      </c>
      <c r="D15" s="136" t="s">
        <v>290</v>
      </c>
      <c r="E15" s="136" t="s">
        <v>291</v>
      </c>
      <c r="F15" s="202">
        <v>2025</v>
      </c>
      <c r="G15" s="200">
        <f>[1]Data!E94</f>
        <v>7.4</v>
      </c>
      <c r="H15" s="200">
        <f>[1]Data!F94</f>
        <v>7.7</v>
      </c>
      <c r="I15" s="200">
        <f>[1]Data!G94</f>
        <v>7.83</v>
      </c>
      <c r="J15" s="200">
        <v>7.7</v>
      </c>
      <c r="K15" s="200">
        <v>7.7</v>
      </c>
      <c r="L15" s="229" t="s">
        <v>115</v>
      </c>
      <c r="M15" s="206" t="s">
        <v>115</v>
      </c>
      <c r="N15" s="193"/>
    </row>
    <row r="16" spans="2:14" ht="22" customHeight="1" thickBot="1" x14ac:dyDescent="0.35">
      <c r="B16" s="36"/>
      <c r="C16" s="201" t="s">
        <v>309</v>
      </c>
      <c r="D16" s="37"/>
      <c r="E16" s="37"/>
      <c r="F16" s="54"/>
      <c r="G16" s="54"/>
      <c r="H16" s="54"/>
      <c r="I16" s="54"/>
      <c r="J16" s="54"/>
      <c r="K16" s="54"/>
      <c r="L16" s="54"/>
      <c r="M16" s="54"/>
      <c r="N16" s="194"/>
    </row>
  </sheetData>
  <sheetProtection formatCells="0" formatColumns="0" formatRows="0" insertColumns="0" insertRows="0" sort="0" autoFilter="0" pivotTables="0"/>
  <mergeCells count="2">
    <mergeCell ref="G6:K6"/>
    <mergeCell ref="L6:M6"/>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56CBEB87B41864E8C5767D5C4DCC68D" ma:contentTypeVersion="13" ma:contentTypeDescription="Crear nuevo documento." ma:contentTypeScope="" ma:versionID="9491d65ed3c77ca18a0d676fc734ae49">
  <xsd:schema xmlns:xsd="http://www.w3.org/2001/XMLSchema" xmlns:xs="http://www.w3.org/2001/XMLSchema" xmlns:p="http://schemas.microsoft.com/office/2006/metadata/properties" xmlns:ns2="a37ad2d5-8d25-4852-bf50-dc8214788a87" xmlns:ns3="075f239a-0003-41b8-9055-65f0f638584e" targetNamespace="http://schemas.microsoft.com/office/2006/metadata/properties" ma:root="true" ma:fieldsID="09095852ceec3b7d5a965024b2931b35" ns2:_="" ns3:_="">
    <xsd:import namespace="a37ad2d5-8d25-4852-bf50-dc8214788a87"/>
    <xsd:import namespace="075f239a-0003-41b8-9055-65f0f638584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7ad2d5-8d25-4852-bf50-dc8214788a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Location" ma:index="15" nillable="true" ma:displayName="Location" ma:indexed="true" ma:internalName="MediaServiceLocation" ma:readOnly="true">
      <xsd:simpleType>
        <xsd:restriction base="dms:Text"/>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12e4a3a5-a451-4224-8eeb-4278d1f6e2e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5f239a-0003-41b8-9055-65f0f638584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caa60a6-788f-4182-8d0d-b120ce7995be}" ma:internalName="TaxCatchAll" ma:showField="CatchAllData" ma:web="075f239a-0003-41b8-9055-65f0f638584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37ad2d5-8d25-4852-bf50-dc8214788a87">
      <Terms xmlns="http://schemas.microsoft.com/office/infopath/2007/PartnerControls"/>
    </lcf76f155ced4ddcb4097134ff3c332f>
    <TaxCatchAll xmlns="075f239a-0003-41b8-9055-65f0f638584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A033BEB-60E5-42D5-86BC-19ECB71D88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7ad2d5-8d25-4852-bf50-dc8214788a87"/>
    <ds:schemaRef ds:uri="075f239a-0003-41b8-9055-65f0f63858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DDEEB97-7865-4B66-B508-459C4F5D2456}">
  <ds:schemaRefs>
    <ds:schemaRef ds:uri="http://schemas.microsoft.com/office/2006/metadata/properties"/>
    <ds:schemaRef ds:uri="http://schemas.microsoft.com/office/infopath/2007/PartnerControls"/>
    <ds:schemaRef ds:uri="a37ad2d5-8d25-4852-bf50-dc8214788a87"/>
    <ds:schemaRef ds:uri="075f239a-0003-41b8-9055-65f0f638584e"/>
  </ds:schemaRefs>
</ds:datastoreItem>
</file>

<file path=customXml/itemProps3.xml><?xml version="1.0" encoding="utf-8"?>
<ds:datastoreItem xmlns:ds="http://schemas.openxmlformats.org/officeDocument/2006/customXml" ds:itemID="{0DA30837-E519-422E-A366-79E0E03997A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Métricas</vt:lpstr>
      <vt:lpstr>Environment</vt:lpstr>
      <vt:lpstr>Social</vt:lpstr>
      <vt:lpstr>Governance</vt:lpstr>
      <vt:lpstr>Governance_Graf</vt:lpstr>
      <vt:lpstr>Data</vt:lpstr>
      <vt:lpstr>Main targets</vt:lpstr>
      <vt:lpstr>Métricas!_ftn1</vt:lpstr>
      <vt:lpstr>Métricas!_ftn2</vt:lpstr>
      <vt:lpstr>Métricas!_ftnref2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Angela Sagastibelza</dc:creator>
  <cp:keywords/>
  <dc:description/>
  <cp:lastModifiedBy>Clara Pueyo</cp:lastModifiedBy>
  <cp:revision/>
  <dcterms:created xsi:type="dcterms:W3CDTF">2024-03-13T11:19:55Z</dcterms:created>
  <dcterms:modified xsi:type="dcterms:W3CDTF">2026-04-17T08:06:10Z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0x010100856CBEB87B41864E8C5767D5C4DCC68D</vt:lpwstr>
  </property>
  <property fmtid="{D5CDD505-2E9C-101B-9397-08002B2CF9AE}" pid="3" name="MediaServiceImageTags">
    <vt:lpwstr/>
  </property>
</Properties>
</file>